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485" yWindow="645" windowWidth="12015" windowHeight="8640"/>
  </bookViews>
  <sheets>
    <sheet name="Распределение" sheetId="1" r:id="rId1"/>
  </sheets>
  <calcPr calcId="145621" fullPrecision="0"/>
</workbook>
</file>

<file path=xl/calcChain.xml><?xml version="1.0" encoding="utf-8"?>
<calcChain xmlns="http://schemas.openxmlformats.org/spreadsheetml/2006/main">
  <c r="J52" i="1" l="1"/>
  <c r="J53" i="1" s="1"/>
  <c r="J54" i="1" s="1"/>
  <c r="M52" i="1"/>
  <c r="M53" i="1" s="1"/>
  <c r="N52" i="1"/>
  <c r="N53" i="1" s="1"/>
  <c r="N54" i="1" s="1"/>
  <c r="O52" i="1"/>
  <c r="O53" i="1" s="1"/>
  <c r="O54" i="1" s="1"/>
  <c r="P52" i="1"/>
  <c r="P53" i="1" s="1"/>
  <c r="P54" i="1" s="1"/>
  <c r="Q52" i="1"/>
  <c r="Q53" i="1" s="1"/>
  <c r="R52" i="1"/>
  <c r="R53" i="1" s="1"/>
  <c r="R54" i="1" s="1"/>
  <c r="S52" i="1"/>
  <c r="S53" i="1" s="1"/>
  <c r="S54" i="1" s="1"/>
  <c r="T52" i="1"/>
  <c r="V52" i="1"/>
  <c r="V53" i="1" s="1"/>
  <c r="V54" i="1" s="1"/>
  <c r="X52" i="1"/>
  <c r="X53" i="1" s="1"/>
  <c r="X54" i="1" s="1"/>
  <c r="Y52" i="1"/>
  <c r="Y53" i="1" s="1"/>
  <c r="AF52" i="1"/>
  <c r="AF53" i="1" s="1"/>
  <c r="AF54" i="1" s="1"/>
  <c r="T53" i="1" l="1"/>
  <c r="T54" i="1" s="1"/>
  <c r="Y54" i="1"/>
  <c r="Q54" i="1"/>
  <c r="M54" i="1"/>
  <c r="K30" i="1" l="1"/>
  <c r="AC30" i="1" s="1"/>
  <c r="AD30" i="1" s="1"/>
  <c r="K31" i="1" l="1"/>
  <c r="U31" i="1"/>
  <c r="W31" i="1" s="1"/>
  <c r="Z31" i="1" s="1"/>
  <c r="L30" i="1"/>
  <c r="AA30" i="1" s="1"/>
  <c r="AB30" i="1" s="1"/>
  <c r="AE30" i="1" s="1"/>
  <c r="U30" i="1"/>
  <c r="W30" i="1" s="1"/>
  <c r="Z30" i="1" s="1"/>
  <c r="AC31" i="1" l="1"/>
  <c r="AD31" i="1" s="1"/>
  <c r="L31" i="1"/>
  <c r="AA31" i="1" s="1"/>
  <c r="AB31" i="1" s="1"/>
  <c r="G52" i="1"/>
  <c r="G53" i="1" s="1"/>
  <c r="H52" i="1"/>
  <c r="H53" i="1" s="1"/>
  <c r="K29" i="1"/>
  <c r="U29" i="1"/>
  <c r="H106" i="1"/>
  <c r="G106" i="1"/>
  <c r="I105" i="1"/>
  <c r="J105" i="1" s="1"/>
  <c r="I104" i="1"/>
  <c r="J104" i="1" s="1"/>
  <c r="I103" i="1"/>
  <c r="J103" i="1" s="1"/>
  <c r="I102" i="1"/>
  <c r="J102" i="1" s="1"/>
  <c r="F101" i="1"/>
  <c r="I101" i="1" s="1"/>
  <c r="I100" i="1"/>
  <c r="J100" i="1" s="1"/>
  <c r="AE56" i="1"/>
  <c r="AE57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F58" i="1"/>
  <c r="G58" i="1" s="1"/>
  <c r="J58" i="1"/>
  <c r="AE58" i="1" s="1"/>
  <c r="L58" i="1"/>
  <c r="AE15" i="1"/>
  <c r="AE17" i="1"/>
  <c r="J59" i="1"/>
  <c r="AE59" i="1" s="1"/>
  <c r="K59" i="1"/>
  <c r="K58" i="1"/>
  <c r="J61" i="1"/>
  <c r="AE61" i="1" s="1"/>
  <c r="J63" i="1"/>
  <c r="AE63" i="1" s="1"/>
  <c r="J62" i="1"/>
  <c r="AE62" i="1" s="1"/>
  <c r="I60" i="1"/>
  <c r="K60" i="1" s="1"/>
  <c r="J6" i="1"/>
  <c r="J8" i="1"/>
  <c r="J5" i="1"/>
  <c r="J16" i="1"/>
  <c r="AE16" i="1" s="1"/>
  <c r="O6" i="1"/>
  <c r="P6" i="1" s="1"/>
  <c r="W6" i="1" s="1"/>
  <c r="Z6" i="1" s="1"/>
  <c r="I7" i="1"/>
  <c r="J7" i="1" s="1"/>
  <c r="I11" i="1"/>
  <c r="K11" i="1" s="1"/>
  <c r="AC11" i="1" s="1"/>
  <c r="I10" i="1"/>
  <c r="J10" i="1" s="1"/>
  <c r="AB7" i="1"/>
  <c r="K5" i="1"/>
  <c r="AC5" i="1" s="1"/>
  <c r="N8" i="1"/>
  <c r="W8" i="1" s="1"/>
  <c r="Z8" i="1" s="1"/>
  <c r="K6" i="1"/>
  <c r="AC6" i="1" s="1"/>
  <c r="K8" i="1"/>
  <c r="O5" i="1"/>
  <c r="N5" i="1"/>
  <c r="M5" i="1"/>
  <c r="W11" i="1"/>
  <c r="W10" i="1"/>
  <c r="AB8" i="1"/>
  <c r="AB5" i="1"/>
  <c r="AB11" i="1"/>
  <c r="AB10" i="1"/>
  <c r="AB6" i="1"/>
  <c r="AB12" i="1"/>
  <c r="J60" i="1" l="1"/>
  <c r="AE60" i="1" s="1"/>
  <c r="I18" i="1"/>
  <c r="K7" i="1"/>
  <c r="AC7" i="1" s="1"/>
  <c r="O12" i="1"/>
  <c r="O13" i="1" s="1"/>
  <c r="O14" i="1" s="1"/>
  <c r="I64" i="1"/>
  <c r="AC29" i="1"/>
  <c r="AC52" i="1" s="1"/>
  <c r="K52" i="1"/>
  <c r="W29" i="1"/>
  <c r="U52" i="1"/>
  <c r="L5" i="1"/>
  <c r="J11" i="1"/>
  <c r="L11" i="1" s="1"/>
  <c r="Z11" i="1"/>
  <c r="P5" i="1"/>
  <c r="W5" i="1" s="1"/>
  <c r="AD5" i="1"/>
  <c r="AE5" i="1" s="1"/>
  <c r="AB13" i="1"/>
  <c r="AB14" i="1" s="1"/>
  <c r="I12" i="1"/>
  <c r="I13" i="1" s="1"/>
  <c r="I14" i="1" s="1"/>
  <c r="AE31" i="1"/>
  <c r="F106" i="1"/>
  <c r="J101" i="1"/>
  <c r="J106" i="1" s="1"/>
  <c r="L29" i="1"/>
  <c r="L8" i="1"/>
  <c r="K64" i="1"/>
  <c r="I106" i="1"/>
  <c r="K10" i="1"/>
  <c r="H54" i="1"/>
  <c r="L6" i="1"/>
  <c r="Z10" i="1"/>
  <c r="M7" i="1"/>
  <c r="N7" i="1" s="1"/>
  <c r="N12" i="1" s="1"/>
  <c r="G54" i="1"/>
  <c r="AD11" i="1"/>
  <c r="AD6" i="1"/>
  <c r="AE6" i="1" s="1"/>
  <c r="AC8" i="1"/>
  <c r="P12" i="1" l="1"/>
  <c r="P13" i="1" s="1"/>
  <c r="P14" i="1" s="1"/>
  <c r="AD7" i="1"/>
  <c r="AE7" i="1" s="1"/>
  <c r="J64" i="1"/>
  <c r="AE64" i="1" s="1"/>
  <c r="L7" i="1"/>
  <c r="AD29" i="1"/>
  <c r="AD52" i="1" s="1"/>
  <c r="AD53" i="1" s="1"/>
  <c r="AD54" i="1" s="1"/>
  <c r="J12" i="1"/>
  <c r="J13" i="1" s="1"/>
  <c r="U53" i="1"/>
  <c r="U54" i="1" s="1"/>
  <c r="Z29" i="1"/>
  <c r="Z52" i="1" s="1"/>
  <c r="W52" i="1"/>
  <c r="K53" i="1"/>
  <c r="K54" i="1" s="1"/>
  <c r="AA29" i="1"/>
  <c r="AA52" i="1" s="1"/>
  <c r="L52" i="1"/>
  <c r="AC53" i="1"/>
  <c r="AC54" i="1" s="1"/>
  <c r="AE11" i="1"/>
  <c r="M12" i="1"/>
  <c r="M13" i="1" s="1"/>
  <c r="N13" i="1"/>
  <c r="N14" i="1" s="1"/>
  <c r="Z5" i="1"/>
  <c r="W7" i="1"/>
  <c r="Z7" i="1" s="1"/>
  <c r="AC10" i="1"/>
  <c r="AC12" i="1" s="1"/>
  <c r="K12" i="1"/>
  <c r="K13" i="1" s="1"/>
  <c r="K14" i="1" s="1"/>
  <c r="L10" i="1"/>
  <c r="AD8" i="1"/>
  <c r="AE8" i="1" s="1"/>
  <c r="L12" i="1" l="1"/>
  <c r="L13" i="1" s="1"/>
  <c r="L14" i="1" s="1"/>
  <c r="J14" i="1"/>
  <c r="J18" i="1" s="1"/>
  <c r="AE18" i="1" s="1"/>
  <c r="AB29" i="1"/>
  <c r="AB52" i="1" s="1"/>
  <c r="L53" i="1"/>
  <c r="L54" i="1" s="1"/>
  <c r="Z53" i="1"/>
  <c r="Z54" i="1" s="1"/>
  <c r="AA53" i="1"/>
  <c r="AA54" i="1" s="1"/>
  <c r="W53" i="1"/>
  <c r="W54" i="1" s="1"/>
  <c r="M14" i="1"/>
  <c r="Z12" i="1"/>
  <c r="Z13" i="1" s="1"/>
  <c r="AD10" i="1"/>
  <c r="AE10" i="1" s="1"/>
  <c r="W12" i="1"/>
  <c r="AC13" i="1"/>
  <c r="AB53" i="1" l="1"/>
  <c r="AB54" i="1" s="1"/>
  <c r="AE29" i="1"/>
  <c r="AE52" i="1" s="1"/>
  <c r="AE53" i="1" s="1"/>
  <c r="AE54" i="1" s="1"/>
  <c r="Z14" i="1"/>
  <c r="AD12" i="1"/>
  <c r="W13" i="1"/>
  <c r="W14" i="1" s="1"/>
  <c r="AC14" i="1"/>
  <c r="AE12" i="1" l="1"/>
  <c r="AD13" i="1"/>
  <c r="AD14" i="1" l="1"/>
  <c r="AE14" i="1" s="1"/>
  <c r="AE13" i="1"/>
</calcChain>
</file>

<file path=xl/sharedStrings.xml><?xml version="1.0" encoding="utf-8"?>
<sst xmlns="http://schemas.openxmlformats.org/spreadsheetml/2006/main" count="119" uniqueCount="81">
  <si>
    <t>№ п/п</t>
  </si>
  <si>
    <t>Наименование работ</t>
  </si>
  <si>
    <t>Ед. изм.</t>
  </si>
  <si>
    <t>Объём СМР</t>
  </si>
  <si>
    <t>Цена работ СМР за ед., руб, вкл НДС 18%</t>
  </si>
  <si>
    <t>ГУ 5%</t>
  </si>
  <si>
    <t>Сроки выполнения работ</t>
  </si>
  <si>
    <t>проверка</t>
  </si>
  <si>
    <t>Декабрь'15</t>
  </si>
  <si>
    <t>начало (чч.мм.гг)</t>
  </si>
  <si>
    <t>окончание (чч.мм.гг)</t>
  </si>
  <si>
    <t xml:space="preserve"> НДС</t>
  </si>
  <si>
    <t xml:space="preserve">ВСЕГО без  НДС: </t>
  </si>
  <si>
    <t xml:space="preserve"> Авансовый платеж , руб., без  НДС*</t>
  </si>
  <si>
    <t>Оплата  по актам, руб., без НДС</t>
  </si>
  <si>
    <t xml:space="preserve">ВСЕГО с НДС: </t>
  </si>
  <si>
    <t>Выполнение по актам, руб., без НДС</t>
  </si>
  <si>
    <t xml:space="preserve">Воврат ГУ 50% в ноябрь 2016 </t>
  </si>
  <si>
    <t>Воврат ГУ 50% в май 2018</t>
  </si>
  <si>
    <t>Стоимость работ  Всего, руб, без НДС 18%</t>
  </si>
  <si>
    <t xml:space="preserve">Изготовление , доставка, сборка и монтаж  металлоконструкций вентиляционных шахт, огрунтованных и окрашенных </t>
  </si>
  <si>
    <t>Поставка, монтаж и натяжение стержней MacAlloy для перехода, включая поставку и монтаж необходимых пластин с установкой закладных деталей на отм. +4,225 в осях В6-В7/Г9-Г10 и на отметке +9,235 в осях В6-В7/Г9-Г10 (с их установкой на болты HILTI HSL-3 M20/60  - 32 шт на отм. +4,225 и болты HILTI HSL-3 M24/60  - 32 шт на отметке +9,235)</t>
  </si>
  <si>
    <t>КМ POS (демонтаж по оси В32 и монтаж по оси В13) Металлоконструкции фахверка перегородки</t>
  </si>
  <si>
    <t xml:space="preserve">СМР </t>
  </si>
  <si>
    <t>Поставка  стержней MacAlloy ТВ 520</t>
  </si>
  <si>
    <t>Поставка подвесной системы переходных мостиков</t>
  </si>
  <si>
    <t xml:space="preserve"> Монтаж подвесной системы переходных мостиков</t>
  </si>
  <si>
    <t>Материалы/оборудование</t>
  </si>
  <si>
    <t>СМР</t>
  </si>
  <si>
    <t>обор</t>
  </si>
  <si>
    <t xml:space="preserve">  поставкаМонтаж подвесной системы переходных мостиков</t>
  </si>
  <si>
    <t>установка металических анкерных пластин</t>
  </si>
  <si>
    <t>тн</t>
  </si>
  <si>
    <t>шт</t>
  </si>
  <si>
    <t xml:space="preserve">было </t>
  </si>
  <si>
    <t>Приложение № 5</t>
  </si>
  <si>
    <t>Воврат ГУ  2017</t>
  </si>
  <si>
    <t>Воврат ГУ 2019</t>
  </si>
  <si>
    <t>итого</t>
  </si>
  <si>
    <t>Оплата  по актам</t>
  </si>
  <si>
    <t xml:space="preserve">к Договору № 50104/05-05003/76-2017 от «05» июля 2017 г. </t>
  </si>
  <si>
    <t>Выполнение по актам, руб, без НДС</t>
  </si>
  <si>
    <t>Заказчик</t>
  </si>
  <si>
    <t>ООО "ОДПС Сколково"</t>
  </si>
  <si>
    <t>________________/А.С. Савченко/</t>
  </si>
  <si>
    <t>Подрядчик</t>
  </si>
  <si>
    <t>Приложение № 1</t>
  </si>
  <si>
    <t>к Договору № ________________от_____________ г.</t>
  </si>
  <si>
    <t xml:space="preserve">Наименование </t>
  </si>
  <si>
    <t>Количество</t>
  </si>
  <si>
    <t>__________________/____________/</t>
  </si>
  <si>
    <t>шт.</t>
  </si>
  <si>
    <t>Сборка и установка пятиугольной песочницы с учетом стоимости изделия и его доставки (согл. п.1 Ведомости объемов работ - Приложение №1 к ТЗ)</t>
  </si>
  <si>
    <t>Сборка и установка игрового комплекса для лазания с учетом стоимости изделия и его доставки (согл. п.2 Ведомости объемов работ - Приложение №1 к ТЗ)</t>
  </si>
  <si>
    <t>Сборка и установка качалки пружинной с учетом стоимости изделия и его доставки (согл. п.3 Ведомости объемов работ - Приложение №1 к ТЗ)</t>
  </si>
  <si>
    <t>Сборка и установка качалки пружинной с учетом стоимости изделия и его доставки (согл. п.4 Ведомости объемов работ - Приложение №1 к ТЗ)</t>
  </si>
  <si>
    <t>Сборка и установка игровой горки с учетом стоимости изделия и его доставки (согл. п.7 Ведомости объемов работ - Приложение №1 к ТЗ)</t>
  </si>
  <si>
    <t>Сборка и установка комплекса для балансирования с учетом стоимости изделия и его доставки (согл. п.8 Ведомости объемов работ - Приложение №1 к ТЗ)</t>
  </si>
  <si>
    <t>Сборка и установка детского игрового комплекса с учетом стоимости изделия и его доставки (согл. п.9 Ведомости объемов работ - Приложение №1 к ТЗ)</t>
  </si>
  <si>
    <t>Сборка и установка доски для балансирования с учетом стоимости изделия и его доставки (согл. п.10 Ведомости объемов работ - Приложение №1 к ТЗ)</t>
  </si>
  <si>
    <t>Сборка и установка гамака с учетом стоимости изделия и его доставки (согл. п.13 Ведомости объемов работ - Приложение №1 к ТЗ)</t>
  </si>
  <si>
    <t>Сборка и установка игрового комплекса с горкой с учетом стоимости изделия и его доставки (согл. п.15 Ведомости объемов работ - Приложение №1 к ТЗ)</t>
  </si>
  <si>
    <t>Сборка и установка качалки пружинной с учетом стоимости изделия и его доставки (согл. п.16 Ведомости объемов работ - Приложение №1 к ТЗ)</t>
  </si>
  <si>
    <t>Сборка и установка карусели с двумя подвесами с учетом стоимости изделия и его доставки (согл. п.17 Ведомости объемов работ - Приложение №1 к ТЗ)</t>
  </si>
  <si>
    <t>Сборка и установка карусели круглой с учетом стоимости изделия и его доставки (согл. п.18 Ведомости объемов работ - Приложение №1 к ТЗ)</t>
  </si>
  <si>
    <t>Сборка и установка скамьи со спинкой с учетом стоимости изделия и его доставки (согл. п.22 Ведомости объемов работ - Приложение №1 к ТЗ)</t>
  </si>
  <si>
    <t>Сборка и установка урны (согл. п.23 Ведомости объемов работ - Приложение №1 к ТЗ)</t>
  </si>
  <si>
    <t>Сборка и установка двойных качелей с учетом стоимости изделия и его доставки (согл. п.5 Ведомости объемов работ - Приложение №1 к ТЗ)</t>
  </si>
  <si>
    <t>Сборка и установка сиденья для качелей (для начинающих ходить) с учетом стоимости изделия и его доставки (согл. п.6 Ведомости объемов работ - Приложение №1 к ТЗ)</t>
  </si>
  <si>
    <t>Сборка и установка двойных качелей+качели Гнездо с учетом стоимости изделия и его доставки (согл. п.11 Ведомости объемов работ - Приложение №1 к ТЗ)</t>
  </si>
  <si>
    <t>Сборка и установка круговой карусели наклонной с учетом стоимости изделия и его доставки (согл. п.12 Ведомости объемов работ - Приложение №1 к ТЗ)</t>
  </si>
  <si>
    <t>Сборка и установка карусели с брусьями с учетом стоимости изделия и его доставки (согл. п.14 Ведомости объемов работ - Приложение №1 к ТЗ)</t>
  </si>
  <si>
    <t>Сборка и установка вертушки-чаши с учетом стоимости изделия и его доставки (согл. п.19 Ведомости объемов работ - Приложение №1 к ТЗ)</t>
  </si>
  <si>
    <t>Сборка и установка качалки пружинной с учетом стоимости изделия и его доставки (согл. п.20 Ведомости объемов работ - Приложение №1 к ТЗ)</t>
  </si>
  <si>
    <t>Сборка и установка качелей Гнездо с учетом стоимости изделия и его доставки (согл. п.21 Ведомости объемов работ - Приложение №1 к ТЗ)</t>
  </si>
  <si>
    <t>Распределение Цены Договора</t>
  </si>
  <si>
    <t xml:space="preserve">ВСЕГО с НДС 18%: </t>
  </si>
  <si>
    <t xml:space="preserve"> НДС 18%:</t>
  </si>
  <si>
    <t xml:space="preserve">Итого без НДС: </t>
  </si>
  <si>
    <t>Цена работ за ед.  без НДС, руб.</t>
  </si>
  <si>
    <t>Стоимость работ  
Всего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</si>
</sst>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$-419]mmmm\ yy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1" fillId="0" borderId="0">
      <alignment horizontal="center"/>
    </xf>
    <xf numFmtId="0" fontId="21" fillId="0" borderId="0"/>
    <xf numFmtId="0" fontId="21" fillId="0" borderId="0"/>
    <xf numFmtId="0" fontId="22" fillId="0" borderId="0"/>
    <xf numFmtId="0" fontId="22" fillId="0" borderId="0">
      <alignment vertical="top"/>
    </xf>
    <xf numFmtId="0" fontId="21" fillId="0" borderId="0">
      <alignment horizontal="right" vertical="top" wrapText="1"/>
    </xf>
  </cellStyleXfs>
  <cellXfs count="136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2" fillId="6" borderId="4" xfId="0" applyNumberFormat="1" applyFont="1" applyFill="1" applyBorder="1" applyAlignment="1">
      <alignment horizontal="right"/>
    </xf>
    <xf numFmtId="4" fontId="2" fillId="6" borderId="3" xfId="0" applyNumberFormat="1" applyFont="1" applyFill="1" applyBorder="1" applyAlignment="1">
      <alignment horizontal="right"/>
    </xf>
    <xf numFmtId="4" fontId="2" fillId="6" borderId="16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/>
    </xf>
    <xf numFmtId="4" fontId="2" fillId="3" borderId="4" xfId="0" applyNumberFormat="1" applyFont="1" applyFill="1" applyBorder="1" applyAlignment="1">
      <alignment horizontal="center"/>
    </xf>
    <xf numFmtId="4" fontId="2" fillId="4" borderId="4" xfId="0" applyNumberFormat="1" applyFont="1" applyFill="1" applyBorder="1" applyAlignment="1">
      <alignment horizontal="center"/>
    </xf>
    <xf numFmtId="0" fontId="10" fillId="7" borderId="4" xfId="0" applyFont="1" applyFill="1" applyBorder="1" applyAlignment="1">
      <alignment horizontal="center" wrapText="1"/>
    </xf>
    <xf numFmtId="0" fontId="10" fillId="7" borderId="5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/>
    </xf>
    <xf numFmtId="0" fontId="9" fillId="7" borderId="14" xfId="1" applyFont="1" applyFill="1" applyBorder="1" applyAlignment="1">
      <alignment horizontal="left" vertical="center"/>
    </xf>
    <xf numFmtId="0" fontId="9" fillId="7" borderId="9" xfId="1" applyFont="1" applyFill="1" applyBorder="1" applyAlignment="1">
      <alignment horizontal="left" vertical="center"/>
    </xf>
    <xf numFmtId="0" fontId="9" fillId="7" borderId="12" xfId="1" applyFont="1" applyFill="1" applyBorder="1" applyAlignment="1">
      <alignment horizontal="left" vertical="center"/>
    </xf>
    <xf numFmtId="15" fontId="11" fillId="0" borderId="4" xfId="0" applyNumberFormat="1" applyFont="1" applyBorder="1"/>
    <xf numFmtId="0" fontId="2" fillId="0" borderId="20" xfId="0" applyFont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wrapText="1"/>
    </xf>
    <xf numFmtId="4" fontId="2" fillId="8" borderId="4" xfId="0" applyNumberFormat="1" applyFont="1" applyFill="1" applyBorder="1" applyAlignment="1">
      <alignment horizontal="center"/>
    </xf>
    <xf numFmtId="165" fontId="5" fillId="8" borderId="4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8" fillId="8" borderId="4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0" fontId="6" fillId="8" borderId="4" xfId="1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center"/>
    </xf>
    <xf numFmtId="15" fontId="11" fillId="8" borderId="4" xfId="0" applyNumberFormat="1" applyFont="1" applyFill="1" applyBorder="1"/>
    <xf numFmtId="0" fontId="13" fillId="9" borderId="1" xfId="0" applyFont="1" applyFill="1" applyBorder="1" applyAlignment="1">
      <alignment horizontal="center" wrapText="1"/>
    </xf>
    <xf numFmtId="0" fontId="13" fillId="9" borderId="5" xfId="0" applyFont="1" applyFill="1" applyBorder="1" applyAlignment="1">
      <alignment horizontal="center" wrapText="1"/>
    </xf>
    <xf numFmtId="0" fontId="0" fillId="0" borderId="25" xfId="0" applyBorder="1"/>
    <xf numFmtId="0" fontId="0" fillId="0" borderId="26" xfId="0" applyBorder="1"/>
    <xf numFmtId="0" fontId="12" fillId="0" borderId="0" xfId="0" applyFont="1"/>
    <xf numFmtId="0" fontId="14" fillId="0" borderId="0" xfId="0" applyFont="1" applyFill="1" applyAlignment="1">
      <alignment horizontal="right" vertical="center"/>
    </xf>
    <xf numFmtId="4" fontId="16" fillId="0" borderId="4" xfId="0" applyNumberFormat="1" applyFont="1" applyBorder="1" applyAlignment="1">
      <alignment horizontal="center"/>
    </xf>
    <xf numFmtId="0" fontId="15" fillId="0" borderId="0" xfId="0" applyFont="1" applyFill="1"/>
    <xf numFmtId="4" fontId="15" fillId="0" borderId="0" xfId="0" applyNumberFormat="1" applyFont="1" applyFill="1"/>
    <xf numFmtId="0" fontId="19" fillId="0" borderId="0" xfId="0" applyFont="1" applyFill="1" applyAlignment="1">
      <alignment horizontal="left" vertical="center"/>
    </xf>
    <xf numFmtId="0" fontId="20" fillId="0" borderId="0" xfId="0" applyFont="1"/>
    <xf numFmtId="0" fontId="19" fillId="0" borderId="0" xfId="0" applyFont="1" applyFill="1" applyAlignment="1">
      <alignment horizontal="justify" vertical="center"/>
    </xf>
    <xf numFmtId="4" fontId="15" fillId="0" borderId="0" xfId="0" applyNumberFormat="1" applyFont="1" applyFill="1" applyBorder="1"/>
    <xf numFmtId="0" fontId="15" fillId="0" borderId="0" xfId="0" applyFont="1" applyFill="1" applyBorder="1"/>
    <xf numFmtId="4" fontId="18" fillId="0" borderId="0" xfId="0" applyNumberFormat="1" applyFont="1" applyFill="1" applyBorder="1"/>
    <xf numFmtId="0" fontId="23" fillId="0" borderId="26" xfId="0" applyFont="1" applyBorder="1" applyAlignment="1">
      <alignment vertical="center"/>
    </xf>
    <xf numFmtId="4" fontId="13" fillId="7" borderId="4" xfId="0" applyNumberFormat="1" applyFont="1" applyFill="1" applyBorder="1" applyAlignment="1">
      <alignment vertical="center"/>
    </xf>
    <xf numFmtId="4" fontId="25" fillId="7" borderId="4" xfId="0" applyNumberFormat="1" applyFont="1" applyFill="1" applyBorder="1" applyAlignment="1">
      <alignment vertical="center"/>
    </xf>
    <xf numFmtId="4" fontId="25" fillId="7" borderId="9" xfId="0" applyNumberFormat="1" applyFont="1" applyFill="1" applyBorder="1" applyAlignment="1">
      <alignment vertical="center"/>
    </xf>
    <xf numFmtId="4" fontId="25" fillId="0" borderId="4" xfId="0" applyNumberFormat="1" applyFont="1" applyBorder="1" applyAlignment="1">
      <alignment vertical="center"/>
    </xf>
    <xf numFmtId="4" fontId="25" fillId="3" borderId="4" xfId="0" applyNumberFormat="1" applyFont="1" applyFill="1" applyBorder="1" applyAlignment="1">
      <alignment vertical="center"/>
    </xf>
    <xf numFmtId="15" fontId="26" fillId="8" borderId="4" xfId="0" applyNumberFormat="1" applyFont="1" applyFill="1" applyBorder="1" applyAlignment="1">
      <alignment vertical="center"/>
    </xf>
    <xf numFmtId="4" fontId="25" fillId="4" borderId="4" xfId="0" applyNumberFormat="1" applyFont="1" applyFill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0" fillId="8" borderId="4" xfId="0" applyNumberFormat="1" applyFont="1" applyFill="1" applyBorder="1" applyAlignment="1">
      <alignment horizontal="center" wrapText="1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4" fontId="27" fillId="0" borderId="4" xfId="0" applyNumberFormat="1" applyFont="1" applyBorder="1" applyAlignment="1">
      <alignment vertical="center"/>
    </xf>
    <xf numFmtId="4" fontId="28" fillId="0" borderId="0" xfId="0" applyNumberFormat="1" applyFont="1"/>
    <xf numFmtId="0" fontId="28" fillId="0" borderId="0" xfId="0" applyFont="1"/>
    <xf numFmtId="0" fontId="19" fillId="0" borderId="0" xfId="0" applyFont="1"/>
    <xf numFmtId="0" fontId="28" fillId="0" borderId="0" xfId="0" applyFont="1" applyFill="1"/>
    <xf numFmtId="4" fontId="28" fillId="0" borderId="0" xfId="0" applyNumberFormat="1" applyFont="1" applyFill="1"/>
    <xf numFmtId="4" fontId="28" fillId="0" borderId="0" xfId="0" applyNumberFormat="1" applyFont="1" applyFill="1" applyBorder="1"/>
    <xf numFmtId="4" fontId="29" fillId="0" borderId="0" xfId="0" applyNumberFormat="1" applyFont="1" applyFill="1" applyBorder="1"/>
    <xf numFmtId="0" fontId="28" fillId="0" borderId="0" xfId="0" applyFont="1" applyFill="1" applyBorder="1"/>
    <xf numFmtId="0" fontId="24" fillId="4" borderId="23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right"/>
    </xf>
    <xf numFmtId="4" fontId="13" fillId="7" borderId="16" xfId="0" applyNumberFormat="1" applyFont="1" applyFill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4" fontId="25" fillId="3" borderId="16" xfId="0" applyNumberFormat="1" applyFont="1" applyFill="1" applyBorder="1" applyAlignment="1">
      <alignment vertical="center"/>
    </xf>
    <xf numFmtId="15" fontId="26" fillId="8" borderId="16" xfId="0" applyNumberFormat="1" applyFont="1" applyFill="1" applyBorder="1" applyAlignment="1">
      <alignment vertical="center"/>
    </xf>
    <xf numFmtId="4" fontId="25" fillId="4" borderId="16" xfId="0" applyNumberFormat="1" applyFont="1" applyFill="1" applyBorder="1" applyAlignment="1">
      <alignment vertical="center"/>
    </xf>
    <xf numFmtId="4" fontId="25" fillId="0" borderId="32" xfId="0" applyNumberFormat="1" applyFont="1" applyBorder="1" applyAlignment="1">
      <alignment vertical="center"/>
    </xf>
    <xf numFmtId="0" fontId="24" fillId="4" borderId="4" xfId="0" applyFont="1" applyFill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right"/>
    </xf>
    <xf numFmtId="0" fontId="17" fillId="0" borderId="28" xfId="0" applyFont="1" applyBorder="1" applyAlignment="1">
      <alignment horizontal="center"/>
    </xf>
    <xf numFmtId="4" fontId="10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>
      <alignment horizontal="center" vertical="center" wrapText="1"/>
    </xf>
    <xf numFmtId="2" fontId="5" fillId="3" borderId="18" xfId="0" applyNumberFormat="1" applyFont="1" applyFill="1" applyBorder="1" applyAlignment="1">
      <alignment horizontal="center" vertical="center" wrapText="1"/>
    </xf>
    <xf numFmtId="2" fontId="5" fillId="3" borderId="19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5" borderId="10" xfId="1" applyFont="1" applyFill="1" applyBorder="1" applyAlignment="1">
      <alignment horizontal="left" vertical="center"/>
    </xf>
    <xf numFmtId="0" fontId="9" fillId="5" borderId="11" xfId="1" applyFont="1" applyFill="1" applyBorder="1" applyAlignment="1">
      <alignment horizontal="left" vertical="center"/>
    </xf>
    <xf numFmtId="0" fontId="9" fillId="5" borderId="12" xfId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wrapText="1"/>
    </xf>
    <xf numFmtId="4" fontId="10" fillId="2" borderId="5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3" fillId="2" borderId="2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9" fillId="5" borderId="15" xfId="1" applyFont="1" applyFill="1" applyBorder="1" applyAlignment="1">
      <alignment horizontal="left" vertical="center"/>
    </xf>
    <xf numFmtId="0" fontId="9" fillId="5" borderId="13" xfId="1" applyFont="1" applyFill="1" applyBorder="1" applyAlignment="1">
      <alignment horizontal="left" vertical="center"/>
    </xf>
    <xf numFmtId="0" fontId="9" fillId="5" borderId="14" xfId="1" applyFont="1" applyFill="1" applyBorder="1" applyAlignment="1">
      <alignment horizontal="left" vertical="center"/>
    </xf>
    <xf numFmtId="0" fontId="9" fillId="5" borderId="7" xfId="1" applyFont="1" applyFill="1" applyBorder="1" applyAlignment="1">
      <alignment horizontal="right" vertical="center"/>
    </xf>
    <xf numFmtId="0" fontId="9" fillId="5" borderId="8" xfId="1" applyFont="1" applyFill="1" applyBorder="1" applyAlignment="1">
      <alignment horizontal="right" vertical="center"/>
    </xf>
    <xf numFmtId="0" fontId="9" fillId="5" borderId="9" xfId="1" applyFont="1" applyFill="1" applyBorder="1" applyAlignment="1">
      <alignment horizontal="right" vertical="center"/>
    </xf>
    <xf numFmtId="0" fontId="9" fillId="5" borderId="27" xfId="1" applyFont="1" applyFill="1" applyBorder="1" applyAlignment="1">
      <alignment horizontal="right" vertical="center"/>
    </xf>
    <xf numFmtId="0" fontId="9" fillId="5" borderId="28" xfId="1" applyFont="1" applyFill="1" applyBorder="1" applyAlignment="1">
      <alignment horizontal="right" vertical="center"/>
    </xf>
    <xf numFmtId="0" fontId="9" fillId="5" borderId="31" xfId="1" applyFont="1" applyFill="1" applyBorder="1" applyAlignment="1">
      <alignment horizontal="right" vertical="center"/>
    </xf>
    <xf numFmtId="0" fontId="9" fillId="5" borderId="7" xfId="1" applyFont="1" applyFill="1" applyBorder="1" applyAlignment="1">
      <alignment horizontal="left" vertical="center"/>
    </xf>
    <xf numFmtId="0" fontId="9" fillId="5" borderId="8" xfId="1" applyFont="1" applyFill="1" applyBorder="1" applyAlignment="1">
      <alignment horizontal="left" vertical="center"/>
    </xf>
    <xf numFmtId="0" fontId="9" fillId="5" borderId="9" xfId="1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</cellXfs>
  <cellStyles count="8">
    <cellStyle name="Итоги" xfId="7"/>
    <cellStyle name="ИтогоБазЦ" xfId="4"/>
    <cellStyle name="ИтогоБИМ" xfId="5"/>
    <cellStyle name="ЛокСмМТСН" xfId="6"/>
    <cellStyle name="Обычный" xfId="0" builtinId="0"/>
    <cellStyle name="Обычный 8" xfId="1"/>
    <cellStyle name="Параметр" xfId="3"/>
    <cellStyle name="Титул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G131"/>
  <sheetViews>
    <sheetView tabSelected="1" topLeftCell="B52" zoomScale="145" zoomScaleNormal="145" workbookViewId="0">
      <selection activeCell="AG28" sqref="AG28"/>
    </sheetView>
  </sheetViews>
  <sheetFormatPr defaultRowHeight="15" x14ac:dyDescent="0.25"/>
  <cols>
    <col min="1" max="1" width="0" hidden="1" customWidth="1"/>
    <col min="2" max="2" width="9.140625" style="42"/>
    <col min="3" max="3" width="45.85546875" style="42" customWidth="1"/>
    <col min="4" max="4" width="15.42578125" style="42" customWidth="1"/>
    <col min="5" max="5" width="13.28515625" style="42" customWidth="1"/>
    <col min="6" max="6" width="18.5703125" style="65" customWidth="1"/>
    <col min="7" max="8" width="18.28515625" style="42" hidden="1" customWidth="1"/>
    <col min="9" max="9" width="15.5703125" style="42" customWidth="1"/>
    <col min="10" max="10" width="16.85546875" hidden="1" customWidth="1"/>
    <col min="11" max="11" width="15" hidden="1" customWidth="1"/>
    <col min="12" max="12" width="14.140625" hidden="1" customWidth="1"/>
    <col min="13" max="13" width="14.5703125" hidden="1" customWidth="1"/>
    <col min="14" max="14" width="14.85546875" hidden="1" customWidth="1"/>
    <col min="15" max="15" width="14.28515625" hidden="1" customWidth="1"/>
    <col min="16" max="20" width="15.42578125" hidden="1" customWidth="1"/>
    <col min="21" max="23" width="14" hidden="1" customWidth="1"/>
    <col min="24" max="24" width="12.28515625" hidden="1" customWidth="1"/>
    <col min="25" max="25" width="12" hidden="1" customWidth="1"/>
    <col min="26" max="26" width="25.140625" hidden="1" customWidth="1"/>
    <col min="27" max="28" width="13.28515625" hidden="1" customWidth="1"/>
    <col min="29" max="29" width="10.5703125" hidden="1" customWidth="1"/>
    <col min="30" max="30" width="12.28515625" hidden="1" customWidth="1"/>
    <col min="31" max="31" width="24.7109375" hidden="1" customWidth="1"/>
    <col min="32" max="32" width="9.140625" hidden="1" customWidth="1"/>
    <col min="33" max="33" width="17" customWidth="1"/>
  </cols>
  <sheetData>
    <row r="1" spans="2:31" hidden="1" x14ac:dyDescent="0.25"/>
    <row r="2" spans="2:31" ht="42.75" hidden="1" customHeight="1" x14ac:dyDescent="0.25">
      <c r="B2" s="112" t="s">
        <v>0</v>
      </c>
      <c r="C2" s="112" t="s">
        <v>1</v>
      </c>
      <c r="D2" s="112" t="s">
        <v>2</v>
      </c>
      <c r="E2" s="112" t="s">
        <v>3</v>
      </c>
      <c r="F2" s="114" t="s">
        <v>4</v>
      </c>
      <c r="G2" s="17"/>
      <c r="H2" s="17"/>
      <c r="I2" s="134" t="s">
        <v>19</v>
      </c>
      <c r="J2" s="1" t="s">
        <v>13</v>
      </c>
      <c r="K2" s="97" t="s">
        <v>5</v>
      </c>
      <c r="L2" s="97" t="s">
        <v>14</v>
      </c>
      <c r="M2" s="99" t="s">
        <v>16</v>
      </c>
      <c r="N2" s="100"/>
      <c r="O2" s="100"/>
      <c r="P2" s="100"/>
      <c r="Q2" s="100"/>
      <c r="R2" s="100"/>
      <c r="S2" s="100"/>
      <c r="T2" s="100"/>
      <c r="U2" s="100"/>
      <c r="V2" s="100"/>
      <c r="W2" s="101"/>
      <c r="X2" s="102" t="s">
        <v>6</v>
      </c>
      <c r="Y2" s="102"/>
      <c r="Z2" s="90" t="s">
        <v>7</v>
      </c>
      <c r="AA2" s="92"/>
      <c r="AB2" s="92"/>
      <c r="AC2" s="93" t="s">
        <v>17</v>
      </c>
      <c r="AD2" s="120" t="s">
        <v>18</v>
      </c>
    </row>
    <row r="3" spans="2:31" ht="18.75" hidden="1" customHeight="1" x14ac:dyDescent="0.25">
      <c r="B3" s="113"/>
      <c r="C3" s="113"/>
      <c r="D3" s="113"/>
      <c r="E3" s="113"/>
      <c r="F3" s="115"/>
      <c r="G3" s="18"/>
      <c r="H3" s="18"/>
      <c r="I3" s="135"/>
      <c r="J3" s="2" t="s">
        <v>8</v>
      </c>
      <c r="K3" s="98"/>
      <c r="L3" s="98"/>
      <c r="M3" s="3">
        <v>42370</v>
      </c>
      <c r="N3" s="3">
        <v>42401</v>
      </c>
      <c r="O3" s="3">
        <v>42430</v>
      </c>
      <c r="P3" s="3">
        <v>42461</v>
      </c>
      <c r="Q3" s="3"/>
      <c r="R3" s="3"/>
      <c r="S3" s="3"/>
      <c r="T3" s="3"/>
      <c r="U3" s="3"/>
      <c r="V3" s="3"/>
      <c r="W3" s="4">
        <v>2016</v>
      </c>
      <c r="X3" s="5" t="s">
        <v>9</v>
      </c>
      <c r="Y3" s="5" t="s">
        <v>10</v>
      </c>
      <c r="Z3" s="91"/>
      <c r="AA3" s="6"/>
      <c r="AB3" s="7">
        <v>2016</v>
      </c>
      <c r="AC3" s="94"/>
      <c r="AD3" s="121"/>
    </row>
    <row r="4" spans="2:31" ht="18.75" hidden="1" customHeight="1" x14ac:dyDescent="0.25">
      <c r="B4" s="25"/>
      <c r="C4" s="25" t="s">
        <v>23</v>
      </c>
      <c r="D4" s="25"/>
      <c r="E4" s="25"/>
      <c r="F4" s="64"/>
      <c r="G4" s="26"/>
      <c r="H4" s="26"/>
      <c r="I4" s="27"/>
      <c r="J4" s="28"/>
      <c r="K4" s="29"/>
      <c r="L4" s="29"/>
      <c r="M4" s="28"/>
      <c r="N4" s="28"/>
      <c r="O4" s="28"/>
      <c r="P4" s="28"/>
      <c r="Q4" s="28"/>
      <c r="R4" s="28"/>
      <c r="S4" s="28"/>
      <c r="T4" s="28"/>
      <c r="U4" s="28"/>
      <c r="V4" s="28"/>
      <c r="W4" s="30"/>
      <c r="X4" s="31"/>
      <c r="Y4" s="31"/>
      <c r="Z4" s="32"/>
      <c r="AA4" s="28"/>
      <c r="AB4" s="30"/>
      <c r="AC4" s="33"/>
      <c r="AD4" s="33"/>
    </row>
    <row r="5" spans="2:31" ht="47.25" hidden="1" customHeight="1" x14ac:dyDescent="0.25">
      <c r="B5" s="12">
        <v>1</v>
      </c>
      <c r="C5" s="13" t="s">
        <v>20</v>
      </c>
      <c r="D5" s="12"/>
      <c r="E5" s="12"/>
      <c r="F5" s="14"/>
      <c r="G5" s="19">
        <v>1</v>
      </c>
      <c r="H5" s="19"/>
      <c r="I5" s="14">
        <v>10114944</v>
      </c>
      <c r="J5" s="14">
        <f>I5*37%</f>
        <v>3742529.28</v>
      </c>
      <c r="K5" s="14">
        <f>I5*5%</f>
        <v>505747.20000000001</v>
      </c>
      <c r="L5" s="14">
        <f>I5-J5-K5</f>
        <v>5866667.5199999996</v>
      </c>
      <c r="M5" s="14">
        <f>I5/4</f>
        <v>2528736</v>
      </c>
      <c r="N5" s="14">
        <f>I5/4</f>
        <v>2528736</v>
      </c>
      <c r="O5" s="14">
        <f>I5/4</f>
        <v>2528736</v>
      </c>
      <c r="P5" s="14">
        <f>I5-M5-N5-O5</f>
        <v>2528736</v>
      </c>
      <c r="Q5" s="14"/>
      <c r="R5" s="14"/>
      <c r="S5" s="14"/>
      <c r="T5" s="14"/>
      <c r="U5" s="14"/>
      <c r="V5" s="14"/>
      <c r="W5" s="15">
        <f>M5+N5+O5+P5</f>
        <v>10114944</v>
      </c>
      <c r="X5" s="23">
        <v>42373</v>
      </c>
      <c r="Y5" s="23">
        <v>42463</v>
      </c>
      <c r="Z5" s="14">
        <f>I5-W5</f>
        <v>0</v>
      </c>
      <c r="AA5" s="14"/>
      <c r="AB5" s="16" t="e">
        <f>#REF!+#REF!+#REF!+#REF!</f>
        <v>#REF!</v>
      </c>
      <c r="AC5" s="14">
        <f>ROUND(K5/2,2)</f>
        <v>252873.60000000001</v>
      </c>
      <c r="AD5" s="14">
        <f>K5-AC5</f>
        <v>252873.60000000001</v>
      </c>
      <c r="AE5" s="8" t="e">
        <f>I5-AB5-AC5-AD5-J5</f>
        <v>#REF!</v>
      </c>
    </row>
    <row r="6" spans="2:31" ht="31.5" hidden="1" customHeight="1" x14ac:dyDescent="0.25">
      <c r="B6" s="12">
        <v>2</v>
      </c>
      <c r="C6" s="13" t="s">
        <v>26</v>
      </c>
      <c r="D6" s="12"/>
      <c r="E6" s="12"/>
      <c r="F6" s="14"/>
      <c r="G6" s="19">
        <v>2</v>
      </c>
      <c r="H6" s="19"/>
      <c r="I6" s="14">
        <v>6122391.1299999999</v>
      </c>
      <c r="J6" s="14">
        <f t="shared" ref="J6:J8" si="0">I6*37%</f>
        <v>2265284.7200000002</v>
      </c>
      <c r="K6" s="14">
        <f t="shared" ref="K6:K11" si="1">I6*5%</f>
        <v>306119.56</v>
      </c>
      <c r="L6" s="14">
        <f t="shared" ref="L6:L11" si="2">I6-J6-K6</f>
        <v>3550986.85</v>
      </c>
      <c r="M6" s="14"/>
      <c r="N6" s="14"/>
      <c r="O6" s="14">
        <f>I6/2</f>
        <v>3061195.57</v>
      </c>
      <c r="P6" s="14">
        <f>I6-O6</f>
        <v>3061195.56</v>
      </c>
      <c r="Q6" s="14"/>
      <c r="R6" s="14"/>
      <c r="S6" s="14"/>
      <c r="T6" s="14"/>
      <c r="U6" s="14"/>
      <c r="V6" s="14"/>
      <c r="W6" s="15">
        <f>M6+N6+O6+P6</f>
        <v>6122391.1299999999</v>
      </c>
      <c r="X6" s="23">
        <v>42373</v>
      </c>
      <c r="Y6" s="23">
        <v>42490</v>
      </c>
      <c r="Z6" s="14">
        <f>I6-W6</f>
        <v>0</v>
      </c>
      <c r="AA6" s="14"/>
      <c r="AB6" s="16" t="e">
        <f>#REF!+#REF!+#REF!+#REF!</f>
        <v>#REF!</v>
      </c>
      <c r="AC6" s="14">
        <f>ROUND(K6/2,2)</f>
        <v>153059.78</v>
      </c>
      <c r="AD6" s="14">
        <f>K6-AC6</f>
        <v>153059.78</v>
      </c>
      <c r="AE6" s="8" t="e">
        <f>I6-AB6-AC6-AD6-J6</f>
        <v>#REF!</v>
      </c>
    </row>
    <row r="7" spans="2:31" ht="141.75" hidden="1" customHeight="1" x14ac:dyDescent="0.25">
      <c r="B7" s="12">
        <v>3</v>
      </c>
      <c r="C7" s="13" t="s">
        <v>21</v>
      </c>
      <c r="D7" s="12"/>
      <c r="E7" s="12"/>
      <c r="F7" s="14"/>
      <c r="G7" s="19">
        <v>10</v>
      </c>
      <c r="H7" s="19"/>
      <c r="I7" s="14">
        <f>800000+229355+6491200-533938.66</f>
        <v>6986616.3399999999</v>
      </c>
      <c r="J7" s="14">
        <f t="shared" si="0"/>
        <v>2585048.0499999998</v>
      </c>
      <c r="K7" s="14">
        <f t="shared" si="1"/>
        <v>349330.82</v>
      </c>
      <c r="L7" s="14">
        <f t="shared" si="2"/>
        <v>4052237.47</v>
      </c>
      <c r="M7" s="14">
        <f>I7/2</f>
        <v>3493308.17</v>
      </c>
      <c r="N7" s="14">
        <f>I7-M7</f>
        <v>3493308.17</v>
      </c>
      <c r="O7" s="14"/>
      <c r="P7" s="14"/>
      <c r="Q7" s="14"/>
      <c r="R7" s="14"/>
      <c r="S7" s="14"/>
      <c r="T7" s="14"/>
      <c r="U7" s="14"/>
      <c r="V7" s="14"/>
      <c r="W7" s="15">
        <f>M7+N7+O7+P7</f>
        <v>6986616.3399999999</v>
      </c>
      <c r="X7" s="23">
        <v>42373</v>
      </c>
      <c r="Y7" s="23">
        <v>42426</v>
      </c>
      <c r="Z7" s="14">
        <f>I7-W7</f>
        <v>0</v>
      </c>
      <c r="AA7" s="14"/>
      <c r="AB7" s="16" t="e">
        <f>#REF!+#REF!+#REF!+#REF!</f>
        <v>#REF!</v>
      </c>
      <c r="AC7" s="14">
        <f>ROUND(K7/2,2)</f>
        <v>174665.41</v>
      </c>
      <c r="AD7" s="14">
        <f>K7-AC7</f>
        <v>174665.41</v>
      </c>
      <c r="AE7" s="8" t="e">
        <f>I7-AB7-AC7-AD7-J7</f>
        <v>#REF!</v>
      </c>
    </row>
    <row r="8" spans="2:31" ht="48" hidden="1" customHeight="1" thickBot="1" x14ac:dyDescent="0.3">
      <c r="B8" s="12">
        <v>4</v>
      </c>
      <c r="C8" s="24" t="s">
        <v>22</v>
      </c>
      <c r="D8" s="12"/>
      <c r="E8" s="12"/>
      <c r="F8" s="14"/>
      <c r="G8" s="19">
        <v>3</v>
      </c>
      <c r="H8" s="19"/>
      <c r="I8" s="14">
        <v>396602.37</v>
      </c>
      <c r="J8" s="14">
        <f t="shared" si="0"/>
        <v>146742.88</v>
      </c>
      <c r="K8" s="14">
        <f t="shared" si="1"/>
        <v>19830.12</v>
      </c>
      <c r="L8" s="14">
        <f t="shared" si="2"/>
        <v>230029.37</v>
      </c>
      <c r="M8" s="14">
        <v>396602.37</v>
      </c>
      <c r="N8" s="14">
        <f>I8-M8</f>
        <v>0</v>
      </c>
      <c r="O8" s="14"/>
      <c r="P8" s="14"/>
      <c r="Q8" s="14"/>
      <c r="R8" s="14"/>
      <c r="S8" s="14"/>
      <c r="T8" s="14"/>
      <c r="U8" s="14"/>
      <c r="V8" s="14"/>
      <c r="W8" s="15">
        <f>M8+N8+O8+P8</f>
        <v>396602.37</v>
      </c>
      <c r="X8" s="23">
        <v>42373</v>
      </c>
      <c r="Y8" s="23">
        <v>42399</v>
      </c>
      <c r="Z8" s="14">
        <f>I8-W8</f>
        <v>0</v>
      </c>
      <c r="AA8" s="14"/>
      <c r="AB8" s="16" t="e">
        <f>#REF!+#REF!+#REF!+#REF!</f>
        <v>#REF!</v>
      </c>
      <c r="AC8" s="14">
        <f>ROUND(K8/2,2)</f>
        <v>9915.06</v>
      </c>
      <c r="AD8" s="14">
        <f>K8-AC8</f>
        <v>9915.06</v>
      </c>
      <c r="AE8" s="8" t="e">
        <f>I8-AB8-AC8-AD8-J8</f>
        <v>#REF!</v>
      </c>
    </row>
    <row r="9" spans="2:31" ht="15.75" hidden="1" customHeight="1" x14ac:dyDescent="0.25">
      <c r="B9" s="34"/>
      <c r="C9" s="35" t="s">
        <v>27</v>
      </c>
      <c r="D9" s="34"/>
      <c r="E9" s="34"/>
      <c r="F9" s="27"/>
      <c r="G9" s="36"/>
      <c r="H9" s="36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37"/>
      <c r="Y9" s="37"/>
      <c r="Z9" s="27"/>
      <c r="AA9" s="27"/>
      <c r="AB9" s="27"/>
      <c r="AC9" s="27"/>
      <c r="AD9" s="27"/>
      <c r="AE9" s="8"/>
    </row>
    <row r="10" spans="2:31" ht="15.75" hidden="1" x14ac:dyDescent="0.25">
      <c r="B10" s="12">
        <v>5</v>
      </c>
      <c r="C10" s="13" t="s">
        <v>24</v>
      </c>
      <c r="D10" s="12"/>
      <c r="E10" s="12"/>
      <c r="F10" s="14"/>
      <c r="G10" s="19">
        <v>16</v>
      </c>
      <c r="H10" s="19"/>
      <c r="I10" s="14">
        <f>13500*80</f>
        <v>1080000</v>
      </c>
      <c r="J10" s="14">
        <f>I10*90%</f>
        <v>972000</v>
      </c>
      <c r="K10" s="14">
        <f t="shared" si="1"/>
        <v>54000</v>
      </c>
      <c r="L10" s="14">
        <f t="shared" si="2"/>
        <v>54000</v>
      </c>
      <c r="M10" s="14"/>
      <c r="N10" s="14">
        <v>1080000</v>
      </c>
      <c r="O10" s="14"/>
      <c r="P10" s="14"/>
      <c r="Q10" s="14"/>
      <c r="R10" s="14"/>
      <c r="S10" s="14"/>
      <c r="T10" s="14"/>
      <c r="U10" s="14"/>
      <c r="V10" s="14"/>
      <c r="W10" s="15">
        <f>M10+N10+O10+P10</f>
        <v>1080000</v>
      </c>
      <c r="X10" s="23">
        <v>42373</v>
      </c>
      <c r="Y10" s="23">
        <v>42426</v>
      </c>
      <c r="Z10" s="14">
        <f>I10-W10</f>
        <v>0</v>
      </c>
      <c r="AA10" s="14"/>
      <c r="AB10" s="16" t="e">
        <f>#REF!+#REF!+#REF!+#REF!</f>
        <v>#REF!</v>
      </c>
      <c r="AC10" s="14">
        <f>ROUND(K10/2,2)</f>
        <v>27000</v>
      </c>
      <c r="AD10" s="14">
        <f>K10-AC10</f>
        <v>27000</v>
      </c>
      <c r="AE10" s="8" t="e">
        <f t="shared" ref="AE10:AE18" si="3">I10-AB10-AC10-AD10-J10</f>
        <v>#REF!</v>
      </c>
    </row>
    <row r="11" spans="2:31" ht="31.5" hidden="1" x14ac:dyDescent="0.25">
      <c r="B11" s="12">
        <v>6</v>
      </c>
      <c r="C11" s="13" t="s">
        <v>25</v>
      </c>
      <c r="D11" s="12"/>
      <c r="E11" s="12"/>
      <c r="F11" s="14"/>
      <c r="G11" s="19">
        <v>49</v>
      </c>
      <c r="H11" s="19"/>
      <c r="I11" s="14">
        <f>41519664*70%</f>
        <v>29063764.800000001</v>
      </c>
      <c r="J11" s="14">
        <f>I11*90%</f>
        <v>26157388.32</v>
      </c>
      <c r="K11" s="14">
        <f t="shared" si="1"/>
        <v>1453188.24</v>
      </c>
      <c r="L11" s="14">
        <f t="shared" si="2"/>
        <v>1453188.24</v>
      </c>
      <c r="M11" s="14"/>
      <c r="N11" s="14"/>
      <c r="O11" s="14"/>
      <c r="P11" s="14">
        <v>29063764.800000001</v>
      </c>
      <c r="Q11" s="14"/>
      <c r="R11" s="14"/>
      <c r="S11" s="14"/>
      <c r="T11" s="14"/>
      <c r="U11" s="14"/>
      <c r="V11" s="14"/>
      <c r="W11" s="15">
        <f>M11+N11+O11+P11</f>
        <v>29063764.800000001</v>
      </c>
      <c r="X11" s="23">
        <v>42373</v>
      </c>
      <c r="Y11" s="23">
        <v>42480</v>
      </c>
      <c r="Z11" s="14">
        <f>I11-W11</f>
        <v>0</v>
      </c>
      <c r="AA11" s="14"/>
      <c r="AB11" s="16" t="e">
        <f>#REF!+#REF!+#REF!+#REF!</f>
        <v>#REF!</v>
      </c>
      <c r="AC11" s="14">
        <f>ROUND(K11/2,2)</f>
        <v>726594.12</v>
      </c>
      <c r="AD11" s="14">
        <f>K11-AC11</f>
        <v>726594.12</v>
      </c>
      <c r="AE11" s="8" t="e">
        <f t="shared" si="3"/>
        <v>#REF!</v>
      </c>
    </row>
    <row r="12" spans="2:31" ht="15.75" hidden="1" x14ac:dyDescent="0.25">
      <c r="B12" s="122" t="s">
        <v>12</v>
      </c>
      <c r="C12" s="123"/>
      <c r="D12" s="123"/>
      <c r="E12" s="123"/>
      <c r="F12" s="124"/>
      <c r="G12" s="20"/>
      <c r="H12" s="20"/>
      <c r="I12" s="11">
        <f t="shared" ref="I12:W12" si="4">SUM(I5:I11)</f>
        <v>53764318.640000001</v>
      </c>
      <c r="J12" s="11">
        <f t="shared" si="4"/>
        <v>35868993.25</v>
      </c>
      <c r="K12" s="11">
        <f t="shared" si="4"/>
        <v>2688215.94</v>
      </c>
      <c r="L12" s="11">
        <f t="shared" si="4"/>
        <v>15207109.449999999</v>
      </c>
      <c r="M12" s="11">
        <f t="shared" si="4"/>
        <v>6418646.54</v>
      </c>
      <c r="N12" s="11">
        <f t="shared" si="4"/>
        <v>7102044.1699999999</v>
      </c>
      <c r="O12" s="11">
        <f t="shared" si="4"/>
        <v>5589931.5700000003</v>
      </c>
      <c r="P12" s="11">
        <f t="shared" si="4"/>
        <v>34653696.359999999</v>
      </c>
      <c r="Q12" s="11"/>
      <c r="R12" s="11"/>
      <c r="S12" s="11"/>
      <c r="T12" s="11"/>
      <c r="U12" s="11"/>
      <c r="V12" s="11"/>
      <c r="W12" s="11">
        <f t="shared" si="4"/>
        <v>53764318.640000001</v>
      </c>
      <c r="X12" s="11"/>
      <c r="Y12" s="11"/>
      <c r="Z12" s="11">
        <f t="shared" ref="Z12:AD12" si="5">SUM(Z5:Z11)</f>
        <v>0</v>
      </c>
      <c r="AA12" s="11"/>
      <c r="AB12" s="11" t="e">
        <f t="shared" si="5"/>
        <v>#REF!</v>
      </c>
      <c r="AC12" s="11">
        <f t="shared" si="5"/>
        <v>1344107.97</v>
      </c>
      <c r="AD12" s="11">
        <f t="shared" si="5"/>
        <v>1344107.97</v>
      </c>
      <c r="AE12" s="8" t="e">
        <f t="shared" si="3"/>
        <v>#REF!</v>
      </c>
    </row>
    <row r="13" spans="2:31" ht="15.75" hidden="1" x14ac:dyDescent="0.25">
      <c r="B13" s="131" t="s">
        <v>11</v>
      </c>
      <c r="C13" s="132"/>
      <c r="D13" s="132"/>
      <c r="E13" s="132"/>
      <c r="F13" s="133"/>
      <c r="G13" s="21"/>
      <c r="H13" s="21"/>
      <c r="I13" s="9">
        <f>I12*18%</f>
        <v>9677577.3599999994</v>
      </c>
      <c r="J13" s="9">
        <f t="shared" ref="J13:AD13" si="6">J12*18%</f>
        <v>6456418.79</v>
      </c>
      <c r="K13" s="9">
        <f t="shared" si="6"/>
        <v>483878.87</v>
      </c>
      <c r="L13" s="9">
        <f t="shared" si="6"/>
        <v>2737279.7</v>
      </c>
      <c r="M13" s="9">
        <f t="shared" si="6"/>
        <v>1155356.3799999999</v>
      </c>
      <c r="N13" s="9">
        <f t="shared" si="6"/>
        <v>1278367.95</v>
      </c>
      <c r="O13" s="9">
        <f t="shared" si="6"/>
        <v>1006187.68</v>
      </c>
      <c r="P13" s="9">
        <f t="shared" si="6"/>
        <v>6237665.3399999999</v>
      </c>
      <c r="Q13" s="9"/>
      <c r="R13" s="9"/>
      <c r="S13" s="9"/>
      <c r="T13" s="9"/>
      <c r="U13" s="9"/>
      <c r="V13" s="9"/>
      <c r="W13" s="9">
        <f t="shared" si="6"/>
        <v>9677577.3599999994</v>
      </c>
      <c r="X13" s="9"/>
      <c r="Y13" s="9"/>
      <c r="Z13" s="9">
        <f t="shared" si="6"/>
        <v>0</v>
      </c>
      <c r="AA13" s="9"/>
      <c r="AB13" s="9" t="e">
        <f>AB12*18%+0.01</f>
        <v>#REF!</v>
      </c>
      <c r="AC13" s="9">
        <f t="shared" si="6"/>
        <v>241939.43</v>
      </c>
      <c r="AD13" s="9">
        <f t="shared" si="6"/>
        <v>241939.43</v>
      </c>
      <c r="AE13" s="8" t="e">
        <f t="shared" si="3"/>
        <v>#REF!</v>
      </c>
    </row>
    <row r="14" spans="2:31" ht="16.5" hidden="1" thickBot="1" x14ac:dyDescent="0.3">
      <c r="B14" s="103" t="s">
        <v>15</v>
      </c>
      <c r="C14" s="104"/>
      <c r="D14" s="104"/>
      <c r="E14" s="104"/>
      <c r="F14" s="105"/>
      <c r="G14" s="22"/>
      <c r="H14" s="22"/>
      <c r="I14" s="10">
        <f>I12+I13</f>
        <v>63441896</v>
      </c>
      <c r="J14" s="10">
        <f t="shared" ref="J14:AD14" si="7">J12+J13</f>
        <v>42325412.039999999</v>
      </c>
      <c r="K14" s="10">
        <f t="shared" si="7"/>
        <v>3172094.81</v>
      </c>
      <c r="L14" s="10">
        <f t="shared" si="7"/>
        <v>17944389.149999999</v>
      </c>
      <c r="M14" s="10">
        <f t="shared" si="7"/>
        <v>7574002.9199999999</v>
      </c>
      <c r="N14" s="10">
        <f t="shared" si="7"/>
        <v>8380412.1200000001</v>
      </c>
      <c r="O14" s="10">
        <f t="shared" si="7"/>
        <v>6596119.25</v>
      </c>
      <c r="P14" s="10">
        <f t="shared" si="7"/>
        <v>40891361.700000003</v>
      </c>
      <c r="Q14" s="10"/>
      <c r="R14" s="10"/>
      <c r="S14" s="10"/>
      <c r="T14" s="10"/>
      <c r="U14" s="10"/>
      <c r="V14" s="10"/>
      <c r="W14" s="10">
        <f t="shared" si="7"/>
        <v>63441896</v>
      </c>
      <c r="X14" s="10"/>
      <c r="Y14" s="10"/>
      <c r="Z14" s="10">
        <f t="shared" si="7"/>
        <v>0</v>
      </c>
      <c r="AA14" s="10"/>
      <c r="AB14" s="10" t="e">
        <f t="shared" si="7"/>
        <v>#REF!</v>
      </c>
      <c r="AC14" s="10">
        <f t="shared" si="7"/>
        <v>1586047.4</v>
      </c>
      <c r="AD14" s="10">
        <f t="shared" si="7"/>
        <v>1586047.4</v>
      </c>
      <c r="AE14" s="8" t="e">
        <f t="shared" si="3"/>
        <v>#REF!</v>
      </c>
    </row>
    <row r="15" spans="2:31" hidden="1" x14ac:dyDescent="0.25">
      <c r="AE15" s="8">
        <f t="shared" si="3"/>
        <v>0</v>
      </c>
    </row>
    <row r="16" spans="2:31" ht="15.75" hidden="1" x14ac:dyDescent="0.25">
      <c r="J16" s="14">
        <f>41519664+1053000</f>
        <v>42572664</v>
      </c>
      <c r="AE16" s="8">
        <f t="shared" si="3"/>
        <v>-42572664</v>
      </c>
    </row>
    <row r="17" spans="1:31" hidden="1" x14ac:dyDescent="0.25">
      <c r="AE17" s="8">
        <f t="shared" si="3"/>
        <v>0</v>
      </c>
    </row>
    <row r="18" spans="1:31" hidden="1" x14ac:dyDescent="0.25">
      <c r="I18" s="65">
        <f>I5+I6+I7+I8</f>
        <v>23620553.84</v>
      </c>
      <c r="J18" s="8">
        <f>J14-J16</f>
        <v>-247251.96</v>
      </c>
      <c r="AE18" s="8">
        <f t="shared" si="3"/>
        <v>23867805.800000001</v>
      </c>
    </row>
    <row r="19" spans="1:31" x14ac:dyDescent="0.25">
      <c r="I19" s="65"/>
      <c r="J19" s="8"/>
      <c r="AE19" s="8"/>
    </row>
    <row r="20" spans="1:31" ht="15.75" x14ac:dyDescent="0.25">
      <c r="I20" s="66" t="s">
        <v>46</v>
      </c>
      <c r="J20" s="8"/>
      <c r="AD20" s="43" t="s">
        <v>35</v>
      </c>
      <c r="AE20" s="8"/>
    </row>
    <row r="21" spans="1:31" ht="15.75" x14ac:dyDescent="0.25">
      <c r="I21" s="66" t="s">
        <v>47</v>
      </c>
      <c r="J21" s="8"/>
      <c r="AD21" s="43" t="s">
        <v>40</v>
      </c>
      <c r="AE21" s="8"/>
    </row>
    <row r="22" spans="1:31" ht="15.75" x14ac:dyDescent="0.25">
      <c r="I22" s="66"/>
      <c r="J22" s="8"/>
      <c r="AD22" s="43"/>
      <c r="AE22" s="8"/>
    </row>
    <row r="23" spans="1:31" ht="15.75" x14ac:dyDescent="0.25">
      <c r="I23" s="66"/>
      <c r="J23" s="8"/>
      <c r="AD23" s="43"/>
      <c r="AE23" s="8"/>
    </row>
    <row r="24" spans="1:31" ht="15.75" x14ac:dyDescent="0.25">
      <c r="I24" s="65"/>
      <c r="J24" s="8"/>
      <c r="AD24" s="43"/>
      <c r="AE24" s="8"/>
    </row>
    <row r="25" spans="1:31" ht="21" thickBot="1" x14ac:dyDescent="0.35">
      <c r="B25" s="116" t="s">
        <v>75</v>
      </c>
      <c r="C25" s="116"/>
      <c r="D25" s="116"/>
      <c r="E25" s="116"/>
      <c r="F25" s="116"/>
      <c r="G25" s="116"/>
      <c r="H25" s="116"/>
      <c r="I25" s="116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8"/>
    </row>
    <row r="26" spans="1:31" ht="21" thickBot="1" x14ac:dyDescent="0.35">
      <c r="B26" s="86"/>
      <c r="C26" s="86"/>
      <c r="D26" s="86"/>
      <c r="E26" s="86"/>
      <c r="F26" s="86"/>
      <c r="G26" s="86"/>
      <c r="H26" s="86"/>
      <c r="I26" s="86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"/>
    </row>
    <row r="27" spans="1:31" ht="36" customHeight="1" x14ac:dyDescent="0.25">
      <c r="A27" s="40"/>
      <c r="B27" s="118" t="s">
        <v>0</v>
      </c>
      <c r="C27" s="108" t="s">
        <v>48</v>
      </c>
      <c r="D27" s="108" t="s">
        <v>2</v>
      </c>
      <c r="E27" s="108" t="s">
        <v>49</v>
      </c>
      <c r="F27" s="110" t="s">
        <v>79</v>
      </c>
      <c r="G27" s="38" t="s">
        <v>7</v>
      </c>
      <c r="H27" s="38" t="s">
        <v>7</v>
      </c>
      <c r="I27" s="95" t="s">
        <v>80</v>
      </c>
      <c r="J27" s="106" t="s">
        <v>13</v>
      </c>
      <c r="K27" s="97" t="s">
        <v>5</v>
      </c>
      <c r="L27" s="97" t="s">
        <v>39</v>
      </c>
      <c r="M27" s="99" t="s">
        <v>41</v>
      </c>
      <c r="N27" s="100"/>
      <c r="O27" s="100"/>
      <c r="P27" s="100"/>
      <c r="Q27" s="100"/>
      <c r="R27" s="100"/>
      <c r="S27" s="100"/>
      <c r="T27" s="100"/>
      <c r="U27" s="100"/>
      <c r="V27" s="100"/>
      <c r="W27" s="101"/>
      <c r="X27" s="102" t="s">
        <v>6</v>
      </c>
      <c r="Y27" s="102"/>
      <c r="Z27" s="90" t="s">
        <v>7</v>
      </c>
      <c r="AA27" s="92"/>
      <c r="AB27" s="92"/>
      <c r="AC27" s="93" t="s">
        <v>36</v>
      </c>
      <c r="AD27" s="120" t="s">
        <v>37</v>
      </c>
      <c r="AE27" s="8"/>
    </row>
    <row r="28" spans="1:31" ht="32.25" customHeight="1" x14ac:dyDescent="0.25">
      <c r="A28" s="41"/>
      <c r="B28" s="119"/>
      <c r="C28" s="109"/>
      <c r="D28" s="109"/>
      <c r="E28" s="109"/>
      <c r="F28" s="111"/>
      <c r="G28" s="39"/>
      <c r="H28" s="39"/>
      <c r="I28" s="96"/>
      <c r="J28" s="107"/>
      <c r="K28" s="98"/>
      <c r="L28" s="98"/>
      <c r="M28" s="3">
        <v>42401</v>
      </c>
      <c r="N28" s="3">
        <v>42430</v>
      </c>
      <c r="O28" s="3">
        <v>42461</v>
      </c>
      <c r="P28" s="3">
        <v>42491</v>
      </c>
      <c r="Q28" s="3">
        <v>42522</v>
      </c>
      <c r="R28" s="3">
        <v>42552</v>
      </c>
      <c r="S28" s="3">
        <v>42583</v>
      </c>
      <c r="T28" s="3">
        <v>42615</v>
      </c>
      <c r="U28" s="3">
        <v>42917</v>
      </c>
      <c r="V28" s="3">
        <v>42949</v>
      </c>
      <c r="W28" s="4" t="s">
        <v>38</v>
      </c>
      <c r="X28" s="5" t="s">
        <v>9</v>
      </c>
      <c r="Y28" s="5" t="s">
        <v>10</v>
      </c>
      <c r="Z28" s="91"/>
      <c r="AA28" s="6">
        <v>42948</v>
      </c>
      <c r="AB28" s="7" t="s">
        <v>38</v>
      </c>
      <c r="AC28" s="94"/>
      <c r="AD28" s="121"/>
      <c r="AE28" s="8"/>
    </row>
    <row r="29" spans="1:31" s="63" customFormat="1" ht="63" x14ac:dyDescent="0.25">
      <c r="A29" s="53"/>
      <c r="B29" s="76">
        <v>1</v>
      </c>
      <c r="C29" s="87" t="s">
        <v>52</v>
      </c>
      <c r="D29" s="88" t="s">
        <v>51</v>
      </c>
      <c r="E29" s="88">
        <v>1</v>
      </c>
      <c r="F29" s="67"/>
      <c r="G29" s="55"/>
      <c r="H29" s="56"/>
      <c r="I29" s="54"/>
      <c r="J29" s="57"/>
      <c r="K29" s="57" t="e">
        <f>#REF!*5%</f>
        <v>#REF!</v>
      </c>
      <c r="L29" s="57" t="e">
        <f>#REF!-K29</f>
        <v>#REF!</v>
      </c>
      <c r="M29" s="57"/>
      <c r="N29" s="57"/>
      <c r="O29" s="57"/>
      <c r="P29" s="54"/>
      <c r="Q29" s="54"/>
      <c r="R29" s="54"/>
      <c r="S29" s="54"/>
      <c r="T29" s="54"/>
      <c r="U29" s="54" t="e">
        <f>#REF!</f>
        <v>#REF!</v>
      </c>
      <c r="V29" s="54"/>
      <c r="W29" s="58" t="e">
        <f t="shared" ref="W29:W31" si="8">U29</f>
        <v>#REF!</v>
      </c>
      <c r="X29" s="59">
        <v>42922</v>
      </c>
      <c r="Y29" s="59">
        <v>42946</v>
      </c>
      <c r="Z29" s="57" t="e">
        <f>I29-W29</f>
        <v>#REF!</v>
      </c>
      <c r="AA29" s="57" t="e">
        <f t="shared" ref="AA29:AA31" si="9">L29</f>
        <v>#REF!</v>
      </c>
      <c r="AB29" s="60" t="e">
        <f>AA29</f>
        <v>#REF!</v>
      </c>
      <c r="AC29" s="57" t="e">
        <f t="shared" ref="AC29:AC31" si="10">K29/2</f>
        <v>#REF!</v>
      </c>
      <c r="AD29" s="61" t="e">
        <f t="shared" ref="AD29:AD31" si="11">K29-AC29</f>
        <v>#REF!</v>
      </c>
      <c r="AE29" s="62" t="e">
        <f>#REF!-AB29-AC29-AD29</f>
        <v>#REF!</v>
      </c>
    </row>
    <row r="30" spans="1:31" s="63" customFormat="1" ht="63" x14ac:dyDescent="0.25">
      <c r="A30" s="53"/>
      <c r="B30" s="76">
        <v>2</v>
      </c>
      <c r="C30" s="87" t="s">
        <v>53</v>
      </c>
      <c r="D30" s="88" t="s">
        <v>51</v>
      </c>
      <c r="E30" s="88">
        <v>1</v>
      </c>
      <c r="F30" s="54"/>
      <c r="G30" s="55"/>
      <c r="H30" s="56"/>
      <c r="I30" s="54"/>
      <c r="J30" s="57"/>
      <c r="K30" s="57">
        <f t="shared" ref="K30" si="12">I30*5%</f>
        <v>0</v>
      </c>
      <c r="L30" s="57">
        <f t="shared" ref="L30" si="13">I30-K30</f>
        <v>0</v>
      </c>
      <c r="M30" s="57"/>
      <c r="N30" s="57"/>
      <c r="O30" s="57"/>
      <c r="P30" s="54"/>
      <c r="Q30" s="54"/>
      <c r="R30" s="54"/>
      <c r="S30" s="54"/>
      <c r="T30" s="54"/>
      <c r="U30" s="54">
        <f t="shared" ref="U30" si="14">I30</f>
        <v>0</v>
      </c>
      <c r="V30" s="54"/>
      <c r="W30" s="58">
        <f t="shared" si="8"/>
        <v>0</v>
      </c>
      <c r="X30" s="59">
        <v>42922</v>
      </c>
      <c r="Y30" s="59">
        <v>42946</v>
      </c>
      <c r="Z30" s="57">
        <f t="shared" ref="Z30" si="15">F30-W30</f>
        <v>0</v>
      </c>
      <c r="AA30" s="57">
        <f t="shared" si="9"/>
        <v>0</v>
      </c>
      <c r="AB30" s="60">
        <f t="shared" ref="AB30" si="16">AA30</f>
        <v>0</v>
      </c>
      <c r="AC30" s="57">
        <f t="shared" si="10"/>
        <v>0</v>
      </c>
      <c r="AD30" s="61">
        <f t="shared" si="11"/>
        <v>0</v>
      </c>
      <c r="AE30" s="62">
        <f t="shared" ref="AE30" si="17">I30-AB30-AC30-AD30</f>
        <v>0</v>
      </c>
    </row>
    <row r="31" spans="1:31" s="63" customFormat="1" ht="63" x14ac:dyDescent="0.25">
      <c r="A31" s="53"/>
      <c r="B31" s="76">
        <v>3</v>
      </c>
      <c r="C31" s="87" t="s">
        <v>54</v>
      </c>
      <c r="D31" s="88" t="s">
        <v>51</v>
      </c>
      <c r="E31" s="88">
        <v>1</v>
      </c>
      <c r="F31" s="54"/>
      <c r="G31" s="55"/>
      <c r="H31" s="56"/>
      <c r="I31" s="54"/>
      <c r="J31" s="57"/>
      <c r="K31" s="57">
        <f>I31*5%</f>
        <v>0</v>
      </c>
      <c r="L31" s="57">
        <f>I31-K31</f>
        <v>0</v>
      </c>
      <c r="M31" s="57"/>
      <c r="N31" s="57"/>
      <c r="O31" s="57"/>
      <c r="P31" s="54"/>
      <c r="Q31" s="54"/>
      <c r="R31" s="54"/>
      <c r="S31" s="54"/>
      <c r="T31" s="54"/>
      <c r="U31" s="54">
        <f>I31</f>
        <v>0</v>
      </c>
      <c r="V31" s="54"/>
      <c r="W31" s="58">
        <f t="shared" si="8"/>
        <v>0</v>
      </c>
      <c r="X31" s="59">
        <v>42922</v>
      </c>
      <c r="Y31" s="59">
        <v>42946</v>
      </c>
      <c r="Z31" s="57">
        <f>F31-W31</f>
        <v>0</v>
      </c>
      <c r="AA31" s="57">
        <f t="shared" si="9"/>
        <v>0</v>
      </c>
      <c r="AB31" s="60">
        <f>AA31</f>
        <v>0</v>
      </c>
      <c r="AC31" s="57">
        <f t="shared" si="10"/>
        <v>0</v>
      </c>
      <c r="AD31" s="61">
        <f t="shared" si="11"/>
        <v>0</v>
      </c>
      <c r="AE31" s="62">
        <f>I31-AB31-AC31-AD31</f>
        <v>0</v>
      </c>
    </row>
    <row r="32" spans="1:31" s="63" customFormat="1" ht="63" x14ac:dyDescent="0.25">
      <c r="A32" s="53"/>
      <c r="B32" s="84">
        <v>4</v>
      </c>
      <c r="C32" s="87" t="s">
        <v>55</v>
      </c>
      <c r="D32" s="88" t="s">
        <v>51</v>
      </c>
      <c r="E32" s="88">
        <v>1</v>
      </c>
      <c r="F32" s="54"/>
      <c r="G32" s="55"/>
      <c r="H32" s="55"/>
      <c r="I32" s="54"/>
      <c r="J32" s="79"/>
      <c r="K32" s="79"/>
      <c r="L32" s="79"/>
      <c r="M32" s="79"/>
      <c r="N32" s="79"/>
      <c r="O32" s="79"/>
      <c r="P32" s="78"/>
      <c r="Q32" s="78"/>
      <c r="R32" s="78"/>
      <c r="S32" s="78"/>
      <c r="T32" s="78"/>
      <c r="U32" s="78"/>
      <c r="V32" s="78"/>
      <c r="W32" s="80"/>
      <c r="X32" s="81"/>
      <c r="Y32" s="81"/>
      <c r="Z32" s="79"/>
      <c r="AA32" s="79"/>
      <c r="AB32" s="82"/>
      <c r="AC32" s="79"/>
      <c r="AD32" s="83"/>
      <c r="AE32" s="62"/>
    </row>
    <row r="33" spans="1:31" s="63" customFormat="1" ht="63" x14ac:dyDescent="0.25">
      <c r="A33" s="53"/>
      <c r="B33" s="84">
        <v>5</v>
      </c>
      <c r="C33" s="87" t="s">
        <v>67</v>
      </c>
      <c r="D33" s="88" t="s">
        <v>51</v>
      </c>
      <c r="E33" s="88">
        <v>1</v>
      </c>
      <c r="F33" s="54"/>
      <c r="G33" s="55"/>
      <c r="H33" s="55"/>
      <c r="I33" s="54"/>
      <c r="J33" s="79"/>
      <c r="K33" s="79"/>
      <c r="L33" s="79"/>
      <c r="M33" s="79"/>
      <c r="N33" s="79"/>
      <c r="O33" s="79"/>
      <c r="P33" s="78"/>
      <c r="Q33" s="78"/>
      <c r="R33" s="78"/>
      <c r="S33" s="78"/>
      <c r="T33" s="78"/>
      <c r="U33" s="78"/>
      <c r="V33" s="78"/>
      <c r="W33" s="80"/>
      <c r="X33" s="81"/>
      <c r="Y33" s="81"/>
      <c r="Z33" s="79"/>
      <c r="AA33" s="79"/>
      <c r="AB33" s="82"/>
      <c r="AC33" s="79"/>
      <c r="AD33" s="83"/>
      <c r="AE33" s="62"/>
    </row>
    <row r="34" spans="1:31" s="63" customFormat="1" ht="78.75" x14ac:dyDescent="0.25">
      <c r="A34" s="53"/>
      <c r="B34" s="84">
        <v>6</v>
      </c>
      <c r="C34" s="87" t="s">
        <v>68</v>
      </c>
      <c r="D34" s="88" t="s">
        <v>51</v>
      </c>
      <c r="E34" s="88">
        <v>2</v>
      </c>
      <c r="F34" s="54"/>
      <c r="G34" s="55"/>
      <c r="H34" s="55"/>
      <c r="I34" s="54"/>
      <c r="J34" s="79"/>
      <c r="K34" s="79"/>
      <c r="L34" s="79"/>
      <c r="M34" s="79"/>
      <c r="N34" s="79"/>
      <c r="O34" s="79"/>
      <c r="P34" s="78"/>
      <c r="Q34" s="78"/>
      <c r="R34" s="78"/>
      <c r="S34" s="78"/>
      <c r="T34" s="78"/>
      <c r="U34" s="78"/>
      <c r="V34" s="78"/>
      <c r="W34" s="80"/>
      <c r="X34" s="81"/>
      <c r="Y34" s="81"/>
      <c r="Z34" s="79"/>
      <c r="AA34" s="79"/>
      <c r="AB34" s="82"/>
      <c r="AC34" s="79"/>
      <c r="AD34" s="83"/>
      <c r="AE34" s="62"/>
    </row>
    <row r="35" spans="1:31" s="63" customFormat="1" ht="63" x14ac:dyDescent="0.25">
      <c r="A35" s="53"/>
      <c r="B35" s="84">
        <v>7</v>
      </c>
      <c r="C35" s="87" t="s">
        <v>56</v>
      </c>
      <c r="D35" s="88" t="s">
        <v>51</v>
      </c>
      <c r="E35" s="88">
        <v>1</v>
      </c>
      <c r="F35" s="54"/>
      <c r="G35" s="55"/>
      <c r="H35" s="55"/>
      <c r="I35" s="54"/>
      <c r="J35" s="79"/>
      <c r="K35" s="79"/>
      <c r="L35" s="79"/>
      <c r="M35" s="79"/>
      <c r="N35" s="79"/>
      <c r="O35" s="79"/>
      <c r="P35" s="78"/>
      <c r="Q35" s="78"/>
      <c r="R35" s="78"/>
      <c r="S35" s="78"/>
      <c r="T35" s="78"/>
      <c r="U35" s="78"/>
      <c r="V35" s="78"/>
      <c r="W35" s="80"/>
      <c r="X35" s="81"/>
      <c r="Y35" s="81"/>
      <c r="Z35" s="79"/>
      <c r="AA35" s="79"/>
      <c r="AB35" s="82"/>
      <c r="AC35" s="79"/>
      <c r="AD35" s="83"/>
      <c r="AE35" s="62"/>
    </row>
    <row r="36" spans="1:31" s="63" customFormat="1" ht="63" x14ac:dyDescent="0.25">
      <c r="A36" s="53"/>
      <c r="B36" s="84">
        <v>8</v>
      </c>
      <c r="C36" s="87" t="s">
        <v>57</v>
      </c>
      <c r="D36" s="88" t="s">
        <v>51</v>
      </c>
      <c r="E36" s="88">
        <v>1</v>
      </c>
      <c r="F36" s="54"/>
      <c r="G36" s="55"/>
      <c r="H36" s="55"/>
      <c r="I36" s="54"/>
      <c r="J36" s="79"/>
      <c r="K36" s="79"/>
      <c r="L36" s="79"/>
      <c r="M36" s="79"/>
      <c r="N36" s="79"/>
      <c r="O36" s="79"/>
      <c r="P36" s="78"/>
      <c r="Q36" s="78"/>
      <c r="R36" s="78"/>
      <c r="S36" s="78"/>
      <c r="T36" s="78"/>
      <c r="U36" s="78"/>
      <c r="V36" s="78"/>
      <c r="W36" s="80"/>
      <c r="X36" s="81"/>
      <c r="Y36" s="81"/>
      <c r="Z36" s="79"/>
      <c r="AA36" s="79"/>
      <c r="AB36" s="82"/>
      <c r="AC36" s="79"/>
      <c r="AD36" s="83"/>
      <c r="AE36" s="62"/>
    </row>
    <row r="37" spans="1:31" s="63" customFormat="1" ht="63" x14ac:dyDescent="0.25">
      <c r="A37" s="53"/>
      <c r="B37" s="84">
        <v>9</v>
      </c>
      <c r="C37" s="87" t="s">
        <v>58</v>
      </c>
      <c r="D37" s="88" t="s">
        <v>51</v>
      </c>
      <c r="E37" s="88">
        <v>1</v>
      </c>
      <c r="F37" s="54"/>
      <c r="G37" s="55"/>
      <c r="H37" s="55"/>
      <c r="I37" s="54"/>
      <c r="J37" s="79"/>
      <c r="K37" s="79"/>
      <c r="L37" s="79"/>
      <c r="M37" s="79"/>
      <c r="N37" s="79"/>
      <c r="O37" s="79"/>
      <c r="P37" s="78"/>
      <c r="Q37" s="78"/>
      <c r="R37" s="78"/>
      <c r="S37" s="78"/>
      <c r="T37" s="78"/>
      <c r="U37" s="78"/>
      <c r="V37" s="78"/>
      <c r="W37" s="80"/>
      <c r="X37" s="81"/>
      <c r="Y37" s="81"/>
      <c r="Z37" s="79"/>
      <c r="AA37" s="79"/>
      <c r="AB37" s="82"/>
      <c r="AC37" s="79"/>
      <c r="AD37" s="83"/>
      <c r="AE37" s="62"/>
    </row>
    <row r="38" spans="1:31" s="63" customFormat="1" ht="78.75" x14ac:dyDescent="0.25">
      <c r="A38" s="53"/>
      <c r="B38" s="84">
        <v>10</v>
      </c>
      <c r="C38" s="87" t="s">
        <v>59</v>
      </c>
      <c r="D38" s="88" t="s">
        <v>51</v>
      </c>
      <c r="E38" s="88">
        <v>1</v>
      </c>
      <c r="F38" s="54"/>
      <c r="G38" s="55"/>
      <c r="H38" s="55"/>
      <c r="I38" s="54"/>
      <c r="J38" s="79"/>
      <c r="K38" s="79"/>
      <c r="L38" s="79"/>
      <c r="M38" s="79"/>
      <c r="N38" s="79"/>
      <c r="O38" s="79"/>
      <c r="P38" s="78"/>
      <c r="Q38" s="78"/>
      <c r="R38" s="78"/>
      <c r="S38" s="78"/>
      <c r="T38" s="78"/>
      <c r="U38" s="78"/>
      <c r="V38" s="78"/>
      <c r="W38" s="80"/>
      <c r="X38" s="81"/>
      <c r="Y38" s="81"/>
      <c r="Z38" s="79"/>
      <c r="AA38" s="79"/>
      <c r="AB38" s="82"/>
      <c r="AC38" s="79"/>
      <c r="AD38" s="83"/>
      <c r="AE38" s="62"/>
    </row>
    <row r="39" spans="1:31" s="63" customFormat="1" ht="78.75" x14ac:dyDescent="0.25">
      <c r="A39" s="53"/>
      <c r="B39" s="84">
        <v>11</v>
      </c>
      <c r="C39" s="87" t="s">
        <v>69</v>
      </c>
      <c r="D39" s="88" t="s">
        <v>51</v>
      </c>
      <c r="E39" s="88">
        <v>1</v>
      </c>
      <c r="F39" s="54"/>
      <c r="G39" s="55"/>
      <c r="H39" s="55"/>
      <c r="I39" s="54"/>
      <c r="J39" s="79"/>
      <c r="K39" s="79"/>
      <c r="L39" s="79"/>
      <c r="M39" s="79"/>
      <c r="N39" s="79"/>
      <c r="O39" s="79"/>
      <c r="P39" s="78"/>
      <c r="Q39" s="78"/>
      <c r="R39" s="78"/>
      <c r="S39" s="78"/>
      <c r="T39" s="78"/>
      <c r="U39" s="78"/>
      <c r="V39" s="78"/>
      <c r="W39" s="80"/>
      <c r="X39" s="81"/>
      <c r="Y39" s="81"/>
      <c r="Z39" s="79"/>
      <c r="AA39" s="79"/>
      <c r="AB39" s="82"/>
      <c r="AC39" s="79"/>
      <c r="AD39" s="83"/>
      <c r="AE39" s="62"/>
    </row>
    <row r="40" spans="1:31" s="63" customFormat="1" ht="63" x14ac:dyDescent="0.25">
      <c r="A40" s="53"/>
      <c r="B40" s="84">
        <v>12</v>
      </c>
      <c r="C40" s="87" t="s">
        <v>70</v>
      </c>
      <c r="D40" s="88" t="s">
        <v>51</v>
      </c>
      <c r="E40" s="88">
        <v>1</v>
      </c>
      <c r="F40" s="54"/>
      <c r="G40" s="55"/>
      <c r="H40" s="55"/>
      <c r="I40" s="54"/>
      <c r="J40" s="79"/>
      <c r="K40" s="79"/>
      <c r="L40" s="79"/>
      <c r="M40" s="79"/>
      <c r="N40" s="79"/>
      <c r="O40" s="79"/>
      <c r="P40" s="78"/>
      <c r="Q40" s="78"/>
      <c r="R40" s="78"/>
      <c r="S40" s="78"/>
      <c r="T40" s="78"/>
      <c r="U40" s="78"/>
      <c r="V40" s="78"/>
      <c r="W40" s="80"/>
      <c r="X40" s="81"/>
      <c r="Y40" s="81"/>
      <c r="Z40" s="79"/>
      <c r="AA40" s="79"/>
      <c r="AB40" s="82"/>
      <c r="AC40" s="79"/>
      <c r="AD40" s="83"/>
      <c r="AE40" s="62"/>
    </row>
    <row r="41" spans="1:31" s="63" customFormat="1" ht="63" x14ac:dyDescent="0.25">
      <c r="A41" s="53"/>
      <c r="B41" s="84">
        <v>13</v>
      </c>
      <c r="C41" s="87" t="s">
        <v>60</v>
      </c>
      <c r="D41" s="88" t="s">
        <v>51</v>
      </c>
      <c r="E41" s="88">
        <v>1</v>
      </c>
      <c r="F41" s="54"/>
      <c r="G41" s="55"/>
      <c r="H41" s="55"/>
      <c r="I41" s="54"/>
      <c r="J41" s="79"/>
      <c r="K41" s="79"/>
      <c r="L41" s="79"/>
      <c r="M41" s="79"/>
      <c r="N41" s="79"/>
      <c r="O41" s="79"/>
      <c r="P41" s="78"/>
      <c r="Q41" s="78"/>
      <c r="R41" s="78"/>
      <c r="S41" s="78"/>
      <c r="T41" s="78"/>
      <c r="U41" s="78"/>
      <c r="V41" s="78"/>
      <c r="W41" s="80"/>
      <c r="X41" s="81"/>
      <c r="Y41" s="81"/>
      <c r="Z41" s="79"/>
      <c r="AA41" s="79"/>
      <c r="AB41" s="82"/>
      <c r="AC41" s="79"/>
      <c r="AD41" s="83"/>
      <c r="AE41" s="62"/>
    </row>
    <row r="42" spans="1:31" s="63" customFormat="1" ht="63" x14ac:dyDescent="0.25">
      <c r="A42" s="53"/>
      <c r="B42" s="84">
        <v>14</v>
      </c>
      <c r="C42" s="87" t="s">
        <v>71</v>
      </c>
      <c r="D42" s="88" t="s">
        <v>51</v>
      </c>
      <c r="E42" s="88">
        <v>1</v>
      </c>
      <c r="F42" s="54"/>
      <c r="G42" s="55"/>
      <c r="H42" s="55"/>
      <c r="I42" s="54"/>
      <c r="J42" s="79"/>
      <c r="K42" s="79"/>
      <c r="L42" s="79"/>
      <c r="M42" s="79"/>
      <c r="N42" s="79"/>
      <c r="O42" s="79"/>
      <c r="P42" s="78"/>
      <c r="Q42" s="78"/>
      <c r="R42" s="78"/>
      <c r="S42" s="78"/>
      <c r="T42" s="78"/>
      <c r="U42" s="78"/>
      <c r="V42" s="78"/>
      <c r="W42" s="80"/>
      <c r="X42" s="81"/>
      <c r="Y42" s="81"/>
      <c r="Z42" s="79"/>
      <c r="AA42" s="79"/>
      <c r="AB42" s="82"/>
      <c r="AC42" s="79"/>
      <c r="AD42" s="83"/>
      <c r="AE42" s="62"/>
    </row>
    <row r="43" spans="1:31" s="63" customFormat="1" ht="63" x14ac:dyDescent="0.25">
      <c r="A43" s="53"/>
      <c r="B43" s="84">
        <v>15</v>
      </c>
      <c r="C43" s="87" t="s">
        <v>61</v>
      </c>
      <c r="D43" s="88" t="s">
        <v>51</v>
      </c>
      <c r="E43" s="88">
        <v>1</v>
      </c>
      <c r="F43" s="54"/>
      <c r="G43" s="55"/>
      <c r="H43" s="55"/>
      <c r="I43" s="54"/>
      <c r="J43" s="79"/>
      <c r="K43" s="79"/>
      <c r="L43" s="79"/>
      <c r="M43" s="79"/>
      <c r="N43" s="79"/>
      <c r="O43" s="79"/>
      <c r="P43" s="78"/>
      <c r="Q43" s="78"/>
      <c r="R43" s="78"/>
      <c r="S43" s="78"/>
      <c r="T43" s="78"/>
      <c r="U43" s="78"/>
      <c r="V43" s="78"/>
      <c r="W43" s="80"/>
      <c r="X43" s="81"/>
      <c r="Y43" s="81"/>
      <c r="Z43" s="79"/>
      <c r="AA43" s="79"/>
      <c r="AB43" s="82"/>
      <c r="AC43" s="79"/>
      <c r="AD43" s="83"/>
      <c r="AE43" s="62"/>
    </row>
    <row r="44" spans="1:31" s="63" customFormat="1" ht="63" x14ac:dyDescent="0.25">
      <c r="A44" s="53"/>
      <c r="B44" s="84">
        <v>16</v>
      </c>
      <c r="C44" s="87" t="s">
        <v>62</v>
      </c>
      <c r="D44" s="88" t="s">
        <v>51</v>
      </c>
      <c r="E44" s="88">
        <v>1</v>
      </c>
      <c r="F44" s="54"/>
      <c r="G44" s="55"/>
      <c r="H44" s="55"/>
      <c r="I44" s="54"/>
      <c r="J44" s="79"/>
      <c r="K44" s="79"/>
      <c r="L44" s="79"/>
      <c r="M44" s="79"/>
      <c r="N44" s="79"/>
      <c r="O44" s="79"/>
      <c r="P44" s="78"/>
      <c r="Q44" s="78"/>
      <c r="R44" s="78"/>
      <c r="S44" s="78"/>
      <c r="T44" s="78"/>
      <c r="U44" s="78"/>
      <c r="V44" s="78"/>
      <c r="W44" s="80"/>
      <c r="X44" s="81"/>
      <c r="Y44" s="81"/>
      <c r="Z44" s="79"/>
      <c r="AA44" s="79"/>
      <c r="AB44" s="82"/>
      <c r="AC44" s="79"/>
      <c r="AD44" s="83"/>
      <c r="AE44" s="62"/>
    </row>
    <row r="45" spans="1:31" s="63" customFormat="1" ht="63" x14ac:dyDescent="0.25">
      <c r="A45" s="53"/>
      <c r="B45" s="84">
        <v>17</v>
      </c>
      <c r="C45" s="87" t="s">
        <v>63</v>
      </c>
      <c r="D45" s="88" t="s">
        <v>51</v>
      </c>
      <c r="E45" s="88">
        <v>1</v>
      </c>
      <c r="F45" s="54"/>
      <c r="G45" s="55"/>
      <c r="H45" s="55"/>
      <c r="I45" s="54"/>
      <c r="J45" s="79"/>
      <c r="K45" s="79"/>
      <c r="L45" s="79"/>
      <c r="M45" s="79"/>
      <c r="N45" s="79"/>
      <c r="O45" s="79"/>
      <c r="P45" s="78"/>
      <c r="Q45" s="78"/>
      <c r="R45" s="78"/>
      <c r="S45" s="78"/>
      <c r="T45" s="78"/>
      <c r="U45" s="78"/>
      <c r="V45" s="78"/>
      <c r="W45" s="80"/>
      <c r="X45" s="81"/>
      <c r="Y45" s="81"/>
      <c r="Z45" s="79"/>
      <c r="AA45" s="79"/>
      <c r="AB45" s="82"/>
      <c r="AC45" s="79"/>
      <c r="AD45" s="83"/>
      <c r="AE45" s="62"/>
    </row>
    <row r="46" spans="1:31" s="63" customFormat="1" ht="63" x14ac:dyDescent="0.25">
      <c r="A46" s="53"/>
      <c r="B46" s="84">
        <v>18</v>
      </c>
      <c r="C46" s="87" t="s">
        <v>64</v>
      </c>
      <c r="D46" s="88" t="s">
        <v>51</v>
      </c>
      <c r="E46" s="88">
        <v>1</v>
      </c>
      <c r="F46" s="54"/>
      <c r="G46" s="55"/>
      <c r="H46" s="55"/>
      <c r="I46" s="54"/>
      <c r="J46" s="79"/>
      <c r="K46" s="79"/>
      <c r="L46" s="79"/>
      <c r="M46" s="79"/>
      <c r="N46" s="79"/>
      <c r="O46" s="79"/>
      <c r="P46" s="78"/>
      <c r="Q46" s="78"/>
      <c r="R46" s="78"/>
      <c r="S46" s="78"/>
      <c r="T46" s="78"/>
      <c r="U46" s="78"/>
      <c r="V46" s="78"/>
      <c r="W46" s="80"/>
      <c r="X46" s="81"/>
      <c r="Y46" s="81"/>
      <c r="Z46" s="79"/>
      <c r="AA46" s="79"/>
      <c r="AB46" s="82"/>
      <c r="AC46" s="79"/>
      <c r="AD46" s="83"/>
      <c r="AE46" s="62"/>
    </row>
    <row r="47" spans="1:31" s="63" customFormat="1" ht="63" x14ac:dyDescent="0.25">
      <c r="A47" s="53"/>
      <c r="B47" s="84">
        <v>19</v>
      </c>
      <c r="C47" s="87" t="s">
        <v>72</v>
      </c>
      <c r="D47" s="88" t="s">
        <v>51</v>
      </c>
      <c r="E47" s="88">
        <v>1</v>
      </c>
      <c r="F47" s="54"/>
      <c r="G47" s="55"/>
      <c r="H47" s="55"/>
      <c r="I47" s="54"/>
      <c r="J47" s="79"/>
      <c r="K47" s="79"/>
      <c r="L47" s="79"/>
      <c r="M47" s="79"/>
      <c r="N47" s="79"/>
      <c r="O47" s="79"/>
      <c r="P47" s="78"/>
      <c r="Q47" s="78"/>
      <c r="R47" s="78"/>
      <c r="S47" s="78"/>
      <c r="T47" s="78"/>
      <c r="U47" s="78"/>
      <c r="V47" s="78"/>
      <c r="W47" s="80"/>
      <c r="X47" s="81"/>
      <c r="Y47" s="81"/>
      <c r="Z47" s="79"/>
      <c r="AA47" s="79"/>
      <c r="AB47" s="82"/>
      <c r="AC47" s="79"/>
      <c r="AD47" s="83"/>
      <c r="AE47" s="62"/>
    </row>
    <row r="48" spans="1:31" s="63" customFormat="1" ht="63" x14ac:dyDescent="0.25">
      <c r="A48" s="53"/>
      <c r="B48" s="84">
        <v>20</v>
      </c>
      <c r="C48" s="87" t="s">
        <v>73</v>
      </c>
      <c r="D48" s="88" t="s">
        <v>51</v>
      </c>
      <c r="E48" s="88">
        <v>1</v>
      </c>
      <c r="F48" s="54"/>
      <c r="G48" s="55"/>
      <c r="H48" s="55"/>
      <c r="I48" s="54"/>
      <c r="J48" s="79"/>
      <c r="K48" s="79"/>
      <c r="L48" s="79"/>
      <c r="M48" s="79"/>
      <c r="N48" s="79"/>
      <c r="O48" s="79"/>
      <c r="P48" s="78"/>
      <c r="Q48" s="78"/>
      <c r="R48" s="78"/>
      <c r="S48" s="78"/>
      <c r="T48" s="78"/>
      <c r="U48" s="78"/>
      <c r="V48" s="78"/>
      <c r="W48" s="80"/>
      <c r="X48" s="81"/>
      <c r="Y48" s="81"/>
      <c r="Z48" s="79"/>
      <c r="AA48" s="79"/>
      <c r="AB48" s="82"/>
      <c r="AC48" s="79"/>
      <c r="AD48" s="83"/>
      <c r="AE48" s="62"/>
    </row>
    <row r="49" spans="1:33" s="63" customFormat="1" ht="63" x14ac:dyDescent="0.25">
      <c r="A49" s="53"/>
      <c r="B49" s="84">
        <v>21</v>
      </c>
      <c r="C49" s="87" t="s">
        <v>74</v>
      </c>
      <c r="D49" s="88" t="s">
        <v>51</v>
      </c>
      <c r="E49" s="88">
        <v>1</v>
      </c>
      <c r="F49" s="54"/>
      <c r="G49" s="55"/>
      <c r="H49" s="55"/>
      <c r="I49" s="54"/>
      <c r="J49" s="79"/>
      <c r="K49" s="79"/>
      <c r="L49" s="79"/>
      <c r="M49" s="79"/>
      <c r="N49" s="79"/>
      <c r="O49" s="79"/>
      <c r="P49" s="78"/>
      <c r="Q49" s="78"/>
      <c r="R49" s="78"/>
      <c r="S49" s="78"/>
      <c r="T49" s="78"/>
      <c r="U49" s="78"/>
      <c r="V49" s="78"/>
      <c r="W49" s="80"/>
      <c r="X49" s="81"/>
      <c r="Y49" s="81"/>
      <c r="Z49" s="79"/>
      <c r="AA49" s="79"/>
      <c r="AB49" s="82"/>
      <c r="AC49" s="79"/>
      <c r="AD49" s="83"/>
      <c r="AE49" s="62"/>
    </row>
    <row r="50" spans="1:33" s="63" customFormat="1" ht="63" x14ac:dyDescent="0.25">
      <c r="A50" s="53"/>
      <c r="B50" s="84">
        <v>22</v>
      </c>
      <c r="C50" s="87" t="s">
        <v>65</v>
      </c>
      <c r="D50" s="88" t="s">
        <v>51</v>
      </c>
      <c r="E50" s="88">
        <v>13</v>
      </c>
      <c r="F50" s="54"/>
      <c r="G50" s="55"/>
      <c r="H50" s="55"/>
      <c r="I50" s="54"/>
      <c r="J50" s="79"/>
      <c r="K50" s="79"/>
      <c r="L50" s="79"/>
      <c r="M50" s="79"/>
      <c r="N50" s="79"/>
      <c r="O50" s="79"/>
      <c r="P50" s="78"/>
      <c r="Q50" s="78"/>
      <c r="R50" s="78"/>
      <c r="S50" s="78"/>
      <c r="T50" s="78"/>
      <c r="U50" s="78"/>
      <c r="V50" s="78"/>
      <c r="W50" s="80"/>
      <c r="X50" s="81"/>
      <c r="Y50" s="81"/>
      <c r="Z50" s="79"/>
      <c r="AA50" s="79"/>
      <c r="AB50" s="82"/>
      <c r="AC50" s="79"/>
      <c r="AD50" s="83"/>
      <c r="AE50" s="62"/>
    </row>
    <row r="51" spans="1:33" s="63" customFormat="1" ht="47.25" x14ac:dyDescent="0.25">
      <c r="A51" s="53"/>
      <c r="B51" s="84">
        <v>23</v>
      </c>
      <c r="C51" s="87" t="s">
        <v>66</v>
      </c>
      <c r="D51" s="88" t="s">
        <v>51</v>
      </c>
      <c r="E51" s="88">
        <v>9</v>
      </c>
      <c r="F51" s="54"/>
      <c r="G51" s="55"/>
      <c r="H51" s="55"/>
      <c r="I51" s="54"/>
      <c r="J51" s="79"/>
      <c r="K51" s="79"/>
      <c r="L51" s="79"/>
      <c r="M51" s="79"/>
      <c r="N51" s="79"/>
      <c r="O51" s="79"/>
      <c r="P51" s="78"/>
      <c r="Q51" s="78"/>
      <c r="R51" s="78"/>
      <c r="S51" s="78"/>
      <c r="T51" s="78"/>
      <c r="U51" s="78"/>
      <c r="V51" s="78"/>
      <c r="W51" s="80"/>
      <c r="X51" s="81"/>
      <c r="Y51" s="81"/>
      <c r="Z51" s="79"/>
      <c r="AA51" s="79"/>
      <c r="AB51" s="82"/>
      <c r="AC51" s="79"/>
      <c r="AD51" s="83"/>
      <c r="AE51" s="62"/>
    </row>
    <row r="52" spans="1:33" ht="15.75" x14ac:dyDescent="0.25">
      <c r="A52" s="77"/>
      <c r="B52" s="125" t="s">
        <v>78</v>
      </c>
      <c r="C52" s="126"/>
      <c r="D52" s="126"/>
      <c r="E52" s="126"/>
      <c r="F52" s="127"/>
      <c r="G52" s="11" t="e">
        <f>G29+#REF!+#REF!+#REF!+#REF!</f>
        <v>#REF!</v>
      </c>
      <c r="H52" s="11" t="e">
        <f>H29+#REF!+#REF!+#REF!+#REF!</f>
        <v>#REF!</v>
      </c>
      <c r="I52" s="11"/>
      <c r="J52" s="11" t="e">
        <f>J29+J30+J31+#REF!+#REF!+#REF!+#REF!</f>
        <v>#REF!</v>
      </c>
      <c r="K52" s="11" t="e">
        <f>K29+K30+K31+#REF!+#REF!+#REF!+#REF!</f>
        <v>#REF!</v>
      </c>
      <c r="L52" s="11" t="e">
        <f>L29+L30+L31+#REF!+#REF!+#REF!+#REF!</f>
        <v>#REF!</v>
      </c>
      <c r="M52" s="11" t="e">
        <f>M29+M30+M31+#REF!+#REF!+#REF!+#REF!</f>
        <v>#REF!</v>
      </c>
      <c r="N52" s="11" t="e">
        <f>N29+N30+N31+#REF!+#REF!+#REF!+#REF!</f>
        <v>#REF!</v>
      </c>
      <c r="O52" s="11" t="e">
        <f>O29+O30+O31+#REF!+#REF!+#REF!+#REF!</f>
        <v>#REF!</v>
      </c>
      <c r="P52" s="11" t="e">
        <f>P29+P30+P31+#REF!+#REF!+#REF!+#REF!</f>
        <v>#REF!</v>
      </c>
      <c r="Q52" s="11" t="e">
        <f>Q29+Q30+Q31+#REF!+#REF!+#REF!+#REF!</f>
        <v>#REF!</v>
      </c>
      <c r="R52" s="11" t="e">
        <f>R29+R30+R31+#REF!+#REF!+#REF!+#REF!</f>
        <v>#REF!</v>
      </c>
      <c r="S52" s="11" t="e">
        <f>S29+S30+S31+#REF!+#REF!+#REF!+#REF!</f>
        <v>#REF!</v>
      </c>
      <c r="T52" s="11" t="e">
        <f>T29+T30+T31+#REF!+#REF!+#REF!+#REF!</f>
        <v>#REF!</v>
      </c>
      <c r="U52" s="11" t="e">
        <f>U29+U30+U31+#REF!+#REF!+#REF!+#REF!</f>
        <v>#REF!</v>
      </c>
      <c r="V52" s="11" t="e">
        <f>V29+V30+V31+#REF!+#REF!+#REF!+#REF!</f>
        <v>#REF!</v>
      </c>
      <c r="W52" s="11" t="e">
        <f>W29+W30+W31+#REF!+#REF!+#REF!+#REF!</f>
        <v>#REF!</v>
      </c>
      <c r="X52" s="11" t="e">
        <f>X29+X30+X31+#REF!+#REF!+#REF!+#REF!</f>
        <v>#REF!</v>
      </c>
      <c r="Y52" s="11" t="e">
        <f>Y29+Y30+Y31+#REF!+#REF!+#REF!+#REF!</f>
        <v>#REF!</v>
      </c>
      <c r="Z52" s="11" t="e">
        <f>Z29+Z30+Z31+#REF!+#REF!+#REF!+#REF!</f>
        <v>#REF!</v>
      </c>
      <c r="AA52" s="11" t="e">
        <f>AA29+AA30+AA31+#REF!+#REF!+#REF!+#REF!</f>
        <v>#REF!</v>
      </c>
      <c r="AB52" s="11" t="e">
        <f>AB29+AB30+AB31+#REF!+#REF!+#REF!+#REF!</f>
        <v>#REF!</v>
      </c>
      <c r="AC52" s="11" t="e">
        <f>AC29+AC30+AC31+#REF!+#REF!+#REF!+#REF!</f>
        <v>#REF!</v>
      </c>
      <c r="AD52" s="11" t="e">
        <f>AD29+AD30+AD31+#REF!+#REF!+#REF!+#REF!</f>
        <v>#REF!</v>
      </c>
      <c r="AE52" s="11" t="e">
        <f>AE29+AE30+AE31+#REF!+#REF!+#REF!+#REF!</f>
        <v>#REF!</v>
      </c>
      <c r="AF52" s="11" t="e">
        <f>AF29+AF30+AF31+#REF!+#REF!+#REF!+#REF!</f>
        <v>#REF!</v>
      </c>
      <c r="AG52" s="8"/>
    </row>
    <row r="53" spans="1:33" ht="15.75" x14ac:dyDescent="0.25">
      <c r="A53" s="77"/>
      <c r="B53" s="125" t="s">
        <v>77</v>
      </c>
      <c r="C53" s="126"/>
      <c r="D53" s="126"/>
      <c r="E53" s="126"/>
      <c r="F53" s="127"/>
      <c r="G53" s="9" t="e">
        <f t="shared" ref="G53:H53" si="18">G52*18%</f>
        <v>#REF!</v>
      </c>
      <c r="H53" s="9" t="e">
        <f t="shared" si="18"/>
        <v>#REF!</v>
      </c>
      <c r="I53" s="9"/>
      <c r="J53" s="9" t="e">
        <f t="shared" ref="J53:AF53" si="19">J52*18%</f>
        <v>#REF!</v>
      </c>
      <c r="K53" s="9" t="e">
        <f t="shared" si="19"/>
        <v>#REF!</v>
      </c>
      <c r="L53" s="9" t="e">
        <f t="shared" si="19"/>
        <v>#REF!</v>
      </c>
      <c r="M53" s="9" t="e">
        <f t="shared" si="19"/>
        <v>#REF!</v>
      </c>
      <c r="N53" s="9" t="e">
        <f t="shared" si="19"/>
        <v>#REF!</v>
      </c>
      <c r="O53" s="9" t="e">
        <f t="shared" si="19"/>
        <v>#REF!</v>
      </c>
      <c r="P53" s="9" t="e">
        <f t="shared" si="19"/>
        <v>#REF!</v>
      </c>
      <c r="Q53" s="9" t="e">
        <f t="shared" si="19"/>
        <v>#REF!</v>
      </c>
      <c r="R53" s="9" t="e">
        <f t="shared" si="19"/>
        <v>#REF!</v>
      </c>
      <c r="S53" s="9" t="e">
        <f t="shared" si="19"/>
        <v>#REF!</v>
      </c>
      <c r="T53" s="9" t="e">
        <f t="shared" si="19"/>
        <v>#REF!</v>
      </c>
      <c r="U53" s="9" t="e">
        <f t="shared" si="19"/>
        <v>#REF!</v>
      </c>
      <c r="V53" s="9" t="e">
        <f t="shared" si="19"/>
        <v>#REF!</v>
      </c>
      <c r="W53" s="9" t="e">
        <f t="shared" si="19"/>
        <v>#REF!</v>
      </c>
      <c r="X53" s="9" t="e">
        <f t="shared" si="19"/>
        <v>#REF!</v>
      </c>
      <c r="Y53" s="9" t="e">
        <f t="shared" si="19"/>
        <v>#REF!</v>
      </c>
      <c r="Z53" s="9" t="e">
        <f t="shared" si="19"/>
        <v>#REF!</v>
      </c>
      <c r="AA53" s="9" t="e">
        <f t="shared" si="19"/>
        <v>#REF!</v>
      </c>
      <c r="AB53" s="9" t="e">
        <f t="shared" si="19"/>
        <v>#REF!</v>
      </c>
      <c r="AC53" s="9" t="e">
        <f t="shared" si="19"/>
        <v>#REF!</v>
      </c>
      <c r="AD53" s="9" t="e">
        <f t="shared" si="19"/>
        <v>#REF!</v>
      </c>
      <c r="AE53" s="9" t="e">
        <f t="shared" si="19"/>
        <v>#REF!</v>
      </c>
      <c r="AF53" s="9" t="e">
        <f t="shared" si="19"/>
        <v>#REF!</v>
      </c>
      <c r="AG53" s="85"/>
    </row>
    <row r="54" spans="1:33" ht="16.5" thickBot="1" x14ac:dyDescent="0.3">
      <c r="A54" s="128" t="s">
        <v>76</v>
      </c>
      <c r="B54" s="129"/>
      <c r="C54" s="129"/>
      <c r="D54" s="129"/>
      <c r="E54" s="129"/>
      <c r="F54" s="130"/>
      <c r="G54" s="10" t="e">
        <f t="shared" ref="G54:H54" si="20">G52+G53</f>
        <v>#REF!</v>
      </c>
      <c r="H54" s="10" t="e">
        <f t="shared" si="20"/>
        <v>#REF!</v>
      </c>
      <c r="I54" s="10"/>
      <c r="J54" s="10" t="e">
        <f t="shared" ref="J54:AF54" si="21">J52+J53</f>
        <v>#REF!</v>
      </c>
      <c r="K54" s="10" t="e">
        <f t="shared" si="21"/>
        <v>#REF!</v>
      </c>
      <c r="L54" s="10" t="e">
        <f t="shared" si="21"/>
        <v>#REF!</v>
      </c>
      <c r="M54" s="10" t="e">
        <f t="shared" si="21"/>
        <v>#REF!</v>
      </c>
      <c r="N54" s="10" t="e">
        <f t="shared" si="21"/>
        <v>#REF!</v>
      </c>
      <c r="O54" s="10" t="e">
        <f t="shared" si="21"/>
        <v>#REF!</v>
      </c>
      <c r="P54" s="10" t="e">
        <f t="shared" si="21"/>
        <v>#REF!</v>
      </c>
      <c r="Q54" s="10" t="e">
        <f t="shared" si="21"/>
        <v>#REF!</v>
      </c>
      <c r="R54" s="10" t="e">
        <f t="shared" si="21"/>
        <v>#REF!</v>
      </c>
      <c r="S54" s="10" t="e">
        <f t="shared" si="21"/>
        <v>#REF!</v>
      </c>
      <c r="T54" s="10" t="e">
        <f t="shared" si="21"/>
        <v>#REF!</v>
      </c>
      <c r="U54" s="10" t="e">
        <f t="shared" si="21"/>
        <v>#REF!</v>
      </c>
      <c r="V54" s="10" t="e">
        <f t="shared" si="21"/>
        <v>#REF!</v>
      </c>
      <c r="W54" s="10" t="e">
        <f t="shared" si="21"/>
        <v>#REF!</v>
      </c>
      <c r="X54" s="10" t="e">
        <f t="shared" si="21"/>
        <v>#REF!</v>
      </c>
      <c r="Y54" s="10" t="e">
        <f t="shared" si="21"/>
        <v>#REF!</v>
      </c>
      <c r="Z54" s="10" t="e">
        <f t="shared" si="21"/>
        <v>#REF!</v>
      </c>
      <c r="AA54" s="10" t="e">
        <f t="shared" si="21"/>
        <v>#REF!</v>
      </c>
      <c r="AB54" s="10" t="e">
        <f t="shared" si="21"/>
        <v>#REF!</v>
      </c>
      <c r="AC54" s="10" t="e">
        <f t="shared" si="21"/>
        <v>#REF!</v>
      </c>
      <c r="AD54" s="10" t="e">
        <f t="shared" si="21"/>
        <v>#REF!</v>
      </c>
      <c r="AE54" s="10" t="e">
        <f t="shared" si="21"/>
        <v>#REF!</v>
      </c>
      <c r="AF54" s="10" t="e">
        <f t="shared" si="21"/>
        <v>#REF!</v>
      </c>
    </row>
    <row r="55" spans="1:33" x14ac:dyDescent="0.25">
      <c r="F55" s="68" t="s">
        <v>34</v>
      </c>
      <c r="G55" s="68"/>
      <c r="H55" s="69"/>
      <c r="I55" s="68"/>
      <c r="AE55" s="8"/>
    </row>
    <row r="56" spans="1:33" hidden="1" x14ac:dyDescent="0.25">
      <c r="F56" s="68"/>
      <c r="G56" s="68"/>
      <c r="H56" s="69"/>
      <c r="I56" s="69"/>
      <c r="AE56" s="8">
        <f t="shared" ref="AE56:AE79" si="22">I56-AB56-AC56-AD56-J56</f>
        <v>0</v>
      </c>
    </row>
    <row r="57" spans="1:33" hidden="1" x14ac:dyDescent="0.25">
      <c r="F57" s="68"/>
      <c r="G57" s="69"/>
      <c r="H57" s="69"/>
      <c r="I57" s="69"/>
      <c r="J57" t="s">
        <v>28</v>
      </c>
      <c r="K57" t="s">
        <v>29</v>
      </c>
      <c r="AE57" s="8" t="e">
        <f t="shared" si="22"/>
        <v>#VALUE!</v>
      </c>
    </row>
    <row r="58" spans="1:33" ht="47.25" hidden="1" x14ac:dyDescent="0.25">
      <c r="C58" s="13" t="s">
        <v>20</v>
      </c>
      <c r="D58" s="14" t="s">
        <v>32</v>
      </c>
      <c r="E58" s="14">
        <v>112.89</v>
      </c>
      <c r="F58" s="44">
        <f>I58/E58</f>
        <v>144661.20000000001</v>
      </c>
      <c r="G58" s="44">
        <f>E58*F58</f>
        <v>16330802.869999999</v>
      </c>
      <c r="H58" s="44"/>
      <c r="I58" s="44">
        <v>16330803.390000001</v>
      </c>
      <c r="J58" s="14">
        <f>I58*30%</f>
        <v>4899241.0199999996</v>
      </c>
      <c r="K58" s="14">
        <f>I58*70%</f>
        <v>11431562.369999999</v>
      </c>
      <c r="L58" s="14">
        <f>I58+I59+I61+I62+I63</f>
        <v>51037807.450000003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AE58" s="8">
        <f t="shared" si="22"/>
        <v>11431562.369999999</v>
      </c>
    </row>
    <row r="59" spans="1:33" ht="31.5" hidden="1" x14ac:dyDescent="0.25">
      <c r="C59" s="13" t="s">
        <v>30</v>
      </c>
      <c r="D59" s="14" t="s">
        <v>33</v>
      </c>
      <c r="E59" s="14"/>
      <c r="F59" s="44"/>
      <c r="G59" s="44"/>
      <c r="H59" s="44"/>
      <c r="I59" s="44">
        <v>32565732.199999999</v>
      </c>
      <c r="J59" s="14">
        <f>I59*30%</f>
        <v>9769719.6600000001</v>
      </c>
      <c r="K59" s="14">
        <f>I59*70%</f>
        <v>22796012.539999999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AE59" s="8">
        <f t="shared" si="22"/>
        <v>22796012.539999999</v>
      </c>
    </row>
    <row r="60" spans="1:33" ht="141.75" hidden="1" x14ac:dyDescent="0.25">
      <c r="C60" s="13" t="s">
        <v>21</v>
      </c>
      <c r="D60" s="14" t="s">
        <v>33</v>
      </c>
      <c r="E60" s="14"/>
      <c r="F60" s="44"/>
      <c r="G60" s="44"/>
      <c r="H60" s="44"/>
      <c r="I60" s="44">
        <f>22881.36*84</f>
        <v>1922034.24</v>
      </c>
      <c r="J60" s="14">
        <f>I60*30%</f>
        <v>576610.27</v>
      </c>
      <c r="K60" s="14">
        <f>I60*70%</f>
        <v>1345423.97</v>
      </c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AE60" s="8">
        <f t="shared" si="22"/>
        <v>1345423.97</v>
      </c>
    </row>
    <row r="61" spans="1:33" ht="15.75" hidden="1" x14ac:dyDescent="0.25">
      <c r="C61" s="42" t="s">
        <v>31</v>
      </c>
      <c r="D61" s="14"/>
      <c r="E61" s="14"/>
      <c r="F61" s="44"/>
      <c r="G61" s="44"/>
      <c r="H61" s="44"/>
      <c r="I61" s="44">
        <v>388737.29</v>
      </c>
      <c r="J61" s="14">
        <f>I61</f>
        <v>388737.29</v>
      </c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AE61" s="8">
        <f t="shared" si="22"/>
        <v>0</v>
      </c>
    </row>
    <row r="62" spans="1:33" ht="141.75" hidden="1" x14ac:dyDescent="0.25">
      <c r="C62" s="13" t="s">
        <v>21</v>
      </c>
      <c r="D62" s="14"/>
      <c r="E62" s="14"/>
      <c r="F62" s="44"/>
      <c r="G62" s="44"/>
      <c r="H62" s="44"/>
      <c r="I62" s="44">
        <v>1355932.2</v>
      </c>
      <c r="J62" s="14">
        <f>I62</f>
        <v>1355932.2</v>
      </c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AE62" s="8">
        <f t="shared" si="22"/>
        <v>0</v>
      </c>
    </row>
    <row r="63" spans="1:33" ht="47.25" hidden="1" x14ac:dyDescent="0.25">
      <c r="C63" s="13" t="s">
        <v>22</v>
      </c>
      <c r="D63" s="14"/>
      <c r="E63" s="14"/>
      <c r="F63" s="44"/>
      <c r="G63" s="44"/>
      <c r="H63" s="44"/>
      <c r="I63" s="44">
        <v>396602.37</v>
      </c>
      <c r="J63" s="14">
        <f>I63</f>
        <v>396602.37</v>
      </c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AE63" s="8">
        <f t="shared" si="22"/>
        <v>0</v>
      </c>
    </row>
    <row r="64" spans="1:33" ht="15.75" hidden="1" x14ac:dyDescent="0.25">
      <c r="D64" s="14"/>
      <c r="E64" s="14"/>
      <c r="F64" s="44"/>
      <c r="G64" s="44"/>
      <c r="H64" s="44"/>
      <c r="I64" s="44">
        <f>I58+I59+I60+I61+I62+I63</f>
        <v>52959841.689999998</v>
      </c>
      <c r="J64" s="14">
        <f t="shared" ref="J64:K64" si="23">J58+J59+J60+J61+J62+J63</f>
        <v>17386842.809999999</v>
      </c>
      <c r="K64" s="14">
        <f t="shared" si="23"/>
        <v>35572998.880000003</v>
      </c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AE64" s="8">
        <f t="shared" si="22"/>
        <v>35572998.880000003</v>
      </c>
    </row>
    <row r="65" spans="6:31" ht="15.75" hidden="1" x14ac:dyDescent="0.25">
      <c r="F65" s="68"/>
      <c r="G65" s="69"/>
      <c r="H65" s="69"/>
      <c r="I65" s="4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AE65" s="8">
        <f t="shared" si="22"/>
        <v>0</v>
      </c>
    </row>
    <row r="66" spans="6:31" ht="15.75" hidden="1" x14ac:dyDescent="0.25">
      <c r="F66" s="68"/>
      <c r="G66" s="69"/>
      <c r="H66" s="69"/>
      <c r="I66" s="4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AE66" s="8">
        <f t="shared" si="22"/>
        <v>0</v>
      </c>
    </row>
    <row r="67" spans="6:31" ht="15.75" hidden="1" x14ac:dyDescent="0.25">
      <c r="F67" s="68"/>
      <c r="G67" s="69"/>
      <c r="H67" s="69"/>
      <c r="I67" s="4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AE67" s="8">
        <f t="shared" si="22"/>
        <v>0</v>
      </c>
    </row>
    <row r="68" spans="6:31" ht="15.75" hidden="1" x14ac:dyDescent="0.25">
      <c r="F68" s="68"/>
      <c r="G68" s="69"/>
      <c r="H68" s="69"/>
      <c r="I68" s="4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AE68" s="8">
        <f t="shared" si="22"/>
        <v>0</v>
      </c>
    </row>
    <row r="69" spans="6:31" ht="15.75" hidden="1" x14ac:dyDescent="0.25">
      <c r="F69" s="68"/>
      <c r="G69" s="69"/>
      <c r="H69" s="69"/>
      <c r="I69" s="4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AE69" s="8">
        <f t="shared" si="22"/>
        <v>0</v>
      </c>
    </row>
    <row r="70" spans="6:31" ht="15.75" hidden="1" x14ac:dyDescent="0.25">
      <c r="F70" s="68"/>
      <c r="G70" s="69"/>
      <c r="H70" s="69"/>
      <c r="I70" s="4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AE70" s="8">
        <f t="shared" si="22"/>
        <v>0</v>
      </c>
    </row>
    <row r="71" spans="6:31" ht="15.75" hidden="1" x14ac:dyDescent="0.25">
      <c r="F71" s="68"/>
      <c r="G71" s="69"/>
      <c r="H71" s="69"/>
      <c r="I71" s="4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AE71" s="8">
        <f t="shared" si="22"/>
        <v>0</v>
      </c>
    </row>
    <row r="72" spans="6:31" ht="15.75" hidden="1" x14ac:dyDescent="0.25">
      <c r="F72" s="68"/>
      <c r="G72" s="69"/>
      <c r="H72" s="69"/>
      <c r="I72" s="4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AE72" s="8">
        <f t="shared" si="22"/>
        <v>0</v>
      </c>
    </row>
    <row r="73" spans="6:31" ht="15.75" hidden="1" x14ac:dyDescent="0.25">
      <c r="F73" s="68"/>
      <c r="G73" s="69"/>
      <c r="H73" s="69"/>
      <c r="I73" s="4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AE73" s="8">
        <f t="shared" si="22"/>
        <v>0</v>
      </c>
    </row>
    <row r="74" spans="6:31" ht="15.75" hidden="1" x14ac:dyDescent="0.25">
      <c r="F74" s="68"/>
      <c r="G74" s="69"/>
      <c r="H74" s="69"/>
      <c r="I74" s="4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AE74" s="8">
        <f t="shared" si="22"/>
        <v>0</v>
      </c>
    </row>
    <row r="75" spans="6:31" ht="15.75" hidden="1" x14ac:dyDescent="0.25">
      <c r="F75" s="68"/>
      <c r="G75" s="69"/>
      <c r="H75" s="69"/>
      <c r="I75" s="4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AE75" s="8">
        <f t="shared" si="22"/>
        <v>0</v>
      </c>
    </row>
    <row r="76" spans="6:31" ht="15.75" hidden="1" x14ac:dyDescent="0.25">
      <c r="F76" s="68"/>
      <c r="G76" s="69"/>
      <c r="H76" s="69"/>
      <c r="I76" s="4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AE76" s="8">
        <f t="shared" si="22"/>
        <v>0</v>
      </c>
    </row>
    <row r="77" spans="6:31" ht="15.75" hidden="1" x14ac:dyDescent="0.25">
      <c r="F77" s="68"/>
      <c r="G77" s="69"/>
      <c r="H77" s="69"/>
      <c r="I77" s="4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AE77" s="8">
        <f t="shared" si="22"/>
        <v>0</v>
      </c>
    </row>
    <row r="78" spans="6:31" hidden="1" x14ac:dyDescent="0.25">
      <c r="F78" s="68"/>
      <c r="G78" s="69"/>
      <c r="H78" s="69"/>
      <c r="I78" s="69"/>
      <c r="AE78" s="8">
        <f t="shared" si="22"/>
        <v>0</v>
      </c>
    </row>
    <row r="79" spans="6:31" hidden="1" x14ac:dyDescent="0.25">
      <c r="F79" s="68"/>
      <c r="G79" s="69"/>
      <c r="H79" s="69"/>
      <c r="I79" s="69"/>
      <c r="AE79" s="8">
        <f t="shared" si="22"/>
        <v>0</v>
      </c>
    </row>
    <row r="80" spans="6:31" x14ac:dyDescent="0.25">
      <c r="F80" s="68"/>
      <c r="G80" s="69"/>
      <c r="H80" s="69"/>
      <c r="I80" s="69"/>
      <c r="AE80" s="8"/>
    </row>
    <row r="81" spans="2:31" x14ac:dyDescent="0.25">
      <c r="F81" s="68"/>
      <c r="G81" s="69"/>
      <c r="H81" s="69"/>
      <c r="I81" s="69"/>
      <c r="AE81" s="8"/>
    </row>
    <row r="82" spans="2:31" ht="18.75" x14ac:dyDescent="0.3">
      <c r="B82" s="49"/>
      <c r="C82" s="42" t="s">
        <v>42</v>
      </c>
      <c r="D82" s="47"/>
      <c r="E82" s="70"/>
      <c r="F82" s="65" t="s">
        <v>45</v>
      </c>
      <c r="I82" s="65"/>
      <c r="Y82" s="47"/>
      <c r="Z82" s="48"/>
    </row>
    <row r="83" spans="2:31" ht="18.75" x14ac:dyDescent="0.3">
      <c r="C83" s="42" t="s">
        <v>43</v>
      </c>
      <c r="W83" s="48"/>
      <c r="X83" s="48"/>
    </row>
    <row r="85" spans="2:31" x14ac:dyDescent="0.25">
      <c r="C85" s="42" t="s">
        <v>44</v>
      </c>
      <c r="F85" s="65" t="s">
        <v>50</v>
      </c>
    </row>
    <row r="93" spans="2:31" x14ac:dyDescent="0.25">
      <c r="E93" s="71"/>
      <c r="F93" s="72"/>
      <c r="G93" s="71"/>
      <c r="H93" s="71"/>
      <c r="I93" s="71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</row>
    <row r="94" spans="2:31" x14ac:dyDescent="0.25">
      <c r="E94" s="71"/>
      <c r="F94" s="72"/>
      <c r="G94" s="71"/>
      <c r="H94" s="71"/>
      <c r="I94" s="71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</row>
    <row r="95" spans="2:31" x14ac:dyDescent="0.25">
      <c r="E95" s="71"/>
      <c r="F95" s="72"/>
      <c r="G95" s="71"/>
      <c r="H95" s="71"/>
      <c r="I95" s="71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</row>
    <row r="96" spans="2:31" x14ac:dyDescent="0.25">
      <c r="E96" s="71"/>
      <c r="F96" s="72"/>
      <c r="G96" s="71"/>
      <c r="H96" s="71"/>
      <c r="I96" s="71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</row>
    <row r="97" spans="5:25" x14ac:dyDescent="0.25">
      <c r="E97" s="71"/>
      <c r="F97" s="72"/>
      <c r="G97" s="71"/>
      <c r="H97" s="71"/>
      <c r="I97" s="72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</row>
    <row r="98" spans="5:25" x14ac:dyDescent="0.25">
      <c r="E98" s="71"/>
      <c r="F98" s="72"/>
      <c r="G98" s="71"/>
      <c r="H98" s="71"/>
      <c r="I98" s="71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</row>
    <row r="99" spans="5:25" x14ac:dyDescent="0.25">
      <c r="E99" s="71"/>
      <c r="F99" s="72"/>
      <c r="G99" s="71"/>
      <c r="H99" s="71"/>
      <c r="I99" s="71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</row>
    <row r="100" spans="5:25" x14ac:dyDescent="0.25">
      <c r="E100" s="71"/>
      <c r="F100" s="72">
        <v>715530.89</v>
      </c>
      <c r="G100" s="72"/>
      <c r="H100" s="72"/>
      <c r="I100" s="72">
        <f>F100*18%</f>
        <v>128795.56</v>
      </c>
      <c r="J100" s="46">
        <f>F100+I100</f>
        <v>844326.45</v>
      </c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</row>
    <row r="101" spans="5:25" x14ac:dyDescent="0.25">
      <c r="E101" s="71"/>
      <c r="F101" s="72">
        <f>320401.98</f>
        <v>320401.98</v>
      </c>
      <c r="G101" s="72"/>
      <c r="H101" s="72"/>
      <c r="I101" s="72">
        <f>F101*18%</f>
        <v>57672.36</v>
      </c>
      <c r="J101" s="46">
        <f>F101+I101</f>
        <v>378074.34</v>
      </c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</row>
    <row r="102" spans="5:25" x14ac:dyDescent="0.25">
      <c r="E102" s="71"/>
      <c r="F102" s="73">
        <v>144515.57</v>
      </c>
      <c r="G102" s="73"/>
      <c r="H102" s="73"/>
      <c r="I102" s="73">
        <f t="shared" ref="I102:I105" si="24">F102*18%</f>
        <v>26012.799999999999</v>
      </c>
      <c r="J102" s="50">
        <f t="shared" ref="J102:J105" si="25">F102+I102</f>
        <v>170528.37</v>
      </c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</row>
    <row r="103" spans="5:25" x14ac:dyDescent="0.25">
      <c r="E103" s="71"/>
      <c r="F103" s="73">
        <v>1829680.94</v>
      </c>
      <c r="G103" s="73"/>
      <c r="H103" s="73"/>
      <c r="I103" s="73">
        <f t="shared" si="24"/>
        <v>329342.57</v>
      </c>
      <c r="J103" s="50">
        <f t="shared" si="25"/>
        <v>2159023.5099999998</v>
      </c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</row>
    <row r="104" spans="5:25" x14ac:dyDescent="0.25">
      <c r="E104" s="71"/>
      <c r="F104" s="73">
        <v>2886595.77</v>
      </c>
      <c r="G104" s="73"/>
      <c r="H104" s="73"/>
      <c r="I104" s="73">
        <f t="shared" si="24"/>
        <v>519587.24</v>
      </c>
      <c r="J104" s="50">
        <f t="shared" si="25"/>
        <v>3406183.01</v>
      </c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</row>
    <row r="105" spans="5:25" x14ac:dyDescent="0.25">
      <c r="E105" s="71"/>
      <c r="F105" s="73">
        <v>1647594.78</v>
      </c>
      <c r="G105" s="73"/>
      <c r="H105" s="73"/>
      <c r="I105" s="73">
        <f t="shared" si="24"/>
        <v>296567.06</v>
      </c>
      <c r="J105" s="50">
        <f t="shared" si="25"/>
        <v>1944161.84</v>
      </c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</row>
    <row r="106" spans="5:25" x14ac:dyDescent="0.25">
      <c r="E106" s="71"/>
      <c r="F106" s="74">
        <f>F101+F102+F103+F104+F105+F100</f>
        <v>7544319.9299999997</v>
      </c>
      <c r="G106" s="74">
        <f t="shared" ref="G106" si="26">G101+G102+G103+G104+G105+G100</f>
        <v>0</v>
      </c>
      <c r="H106" s="74">
        <f t="shared" ref="H106" si="27">H101+H102+H103+H104+H105+H100</f>
        <v>0</v>
      </c>
      <c r="I106" s="74">
        <f t="shared" ref="I106" si="28">I101+I102+I103+I104+I105+I100</f>
        <v>1357977.59</v>
      </c>
      <c r="J106" s="52">
        <f>J101+J102+J103+J104+J105+J100</f>
        <v>8902297.5199999996</v>
      </c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</row>
    <row r="107" spans="5:25" x14ac:dyDescent="0.25">
      <c r="E107" s="71"/>
      <c r="F107" s="73"/>
      <c r="G107" s="75"/>
      <c r="H107" s="75"/>
      <c r="I107" s="75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</row>
    <row r="108" spans="5:25" x14ac:dyDescent="0.25">
      <c r="E108" s="71"/>
      <c r="F108" s="73"/>
      <c r="G108" s="75"/>
      <c r="H108" s="75"/>
      <c r="I108" s="75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</row>
    <row r="109" spans="5:25" x14ac:dyDescent="0.25">
      <c r="E109" s="71"/>
      <c r="F109" s="73"/>
      <c r="G109" s="75"/>
      <c r="H109" s="75"/>
      <c r="I109" s="75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</row>
    <row r="110" spans="5:25" x14ac:dyDescent="0.25">
      <c r="E110" s="71"/>
      <c r="F110" s="73"/>
      <c r="G110" s="75"/>
      <c r="H110" s="75"/>
      <c r="I110" s="75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</row>
    <row r="111" spans="5:25" x14ac:dyDescent="0.25">
      <c r="E111" s="71"/>
      <c r="F111" s="73"/>
      <c r="G111" s="75"/>
      <c r="H111" s="75"/>
      <c r="I111" s="75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</row>
    <row r="112" spans="5:25" x14ac:dyDescent="0.25">
      <c r="E112" s="71"/>
      <c r="F112" s="73"/>
      <c r="G112" s="75"/>
      <c r="H112" s="75"/>
      <c r="I112" s="75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</row>
    <row r="113" spans="5:25" x14ac:dyDescent="0.25">
      <c r="E113" s="71"/>
      <c r="F113" s="73"/>
      <c r="G113" s="75"/>
      <c r="H113" s="75"/>
      <c r="I113" s="75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</row>
    <row r="114" spans="5:25" x14ac:dyDescent="0.25">
      <c r="E114" s="71"/>
      <c r="F114" s="73"/>
      <c r="G114" s="75"/>
      <c r="H114" s="75"/>
      <c r="I114" s="75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</row>
    <row r="115" spans="5:25" x14ac:dyDescent="0.25">
      <c r="E115" s="71"/>
      <c r="F115" s="73"/>
      <c r="G115" s="75"/>
      <c r="H115" s="75"/>
      <c r="I115" s="75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</row>
    <row r="116" spans="5:25" x14ac:dyDescent="0.25">
      <c r="E116" s="71"/>
      <c r="F116" s="72"/>
      <c r="G116" s="71"/>
      <c r="H116" s="71"/>
      <c r="I116" s="71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</row>
    <row r="117" spans="5:25" x14ac:dyDescent="0.25">
      <c r="E117" s="71"/>
      <c r="F117" s="72"/>
      <c r="G117" s="71"/>
      <c r="H117" s="71"/>
      <c r="I117" s="71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</row>
    <row r="118" spans="5:25" x14ac:dyDescent="0.25">
      <c r="E118" s="71"/>
      <c r="F118" s="72"/>
      <c r="G118" s="71"/>
      <c r="H118" s="71"/>
      <c r="I118" s="71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</row>
    <row r="119" spans="5:25" x14ac:dyDescent="0.25">
      <c r="E119" s="71"/>
      <c r="F119" s="72"/>
      <c r="G119" s="71"/>
      <c r="H119" s="71"/>
      <c r="I119" s="71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</row>
    <row r="120" spans="5:25" x14ac:dyDescent="0.25">
      <c r="E120" s="71"/>
      <c r="F120" s="72"/>
      <c r="G120" s="71"/>
      <c r="H120" s="71"/>
      <c r="I120" s="71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</row>
    <row r="121" spans="5:25" x14ac:dyDescent="0.25">
      <c r="E121" s="71"/>
      <c r="F121" s="72"/>
      <c r="G121" s="71"/>
      <c r="H121" s="71"/>
      <c r="I121" s="71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</row>
    <row r="122" spans="5:25" x14ac:dyDescent="0.25">
      <c r="E122" s="71"/>
      <c r="F122" s="72"/>
      <c r="G122" s="71"/>
      <c r="H122" s="71"/>
      <c r="I122" s="71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</row>
    <row r="123" spans="5:25" x14ac:dyDescent="0.25">
      <c r="E123" s="71"/>
      <c r="F123" s="72"/>
      <c r="G123" s="71"/>
      <c r="H123" s="71"/>
      <c r="I123" s="71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</row>
    <row r="124" spans="5:25" x14ac:dyDescent="0.25">
      <c r="E124" s="71"/>
      <c r="F124" s="72"/>
      <c r="G124" s="71"/>
      <c r="H124" s="71"/>
      <c r="I124" s="71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</row>
    <row r="125" spans="5:25" x14ac:dyDescent="0.25">
      <c r="E125" s="71"/>
      <c r="F125" s="72"/>
      <c r="G125" s="71"/>
      <c r="H125" s="71"/>
      <c r="I125" s="71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</row>
    <row r="126" spans="5:25" x14ac:dyDescent="0.25">
      <c r="E126" s="71"/>
      <c r="F126" s="72"/>
      <c r="G126" s="71"/>
      <c r="H126" s="71"/>
      <c r="I126" s="71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</row>
    <row r="127" spans="5:25" x14ac:dyDescent="0.25">
      <c r="E127" s="71"/>
      <c r="F127" s="72"/>
      <c r="G127" s="71"/>
      <c r="H127" s="71"/>
      <c r="I127" s="71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</row>
    <row r="128" spans="5:25" x14ac:dyDescent="0.25">
      <c r="E128" s="71"/>
      <c r="F128" s="72"/>
      <c r="G128" s="71"/>
      <c r="H128" s="71"/>
      <c r="I128" s="71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</row>
    <row r="129" spans="5:25" x14ac:dyDescent="0.25">
      <c r="E129" s="71"/>
      <c r="F129" s="72"/>
      <c r="G129" s="71"/>
      <c r="H129" s="71"/>
      <c r="I129" s="71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</row>
    <row r="130" spans="5:25" x14ac:dyDescent="0.25">
      <c r="E130" s="71"/>
      <c r="F130" s="72"/>
      <c r="G130" s="71"/>
      <c r="H130" s="71"/>
      <c r="I130" s="71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</row>
    <row r="131" spans="5:25" x14ac:dyDescent="0.25">
      <c r="E131" s="71"/>
      <c r="F131" s="72"/>
      <c r="G131" s="71"/>
      <c r="H131" s="71"/>
      <c r="I131" s="71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</row>
  </sheetData>
  <mergeCells count="36">
    <mergeCell ref="B52:F52"/>
    <mergeCell ref="B53:F53"/>
    <mergeCell ref="A54:F54"/>
    <mergeCell ref="B13:F13"/>
    <mergeCell ref="I2:I3"/>
    <mergeCell ref="B2:B3"/>
    <mergeCell ref="C2:C3"/>
    <mergeCell ref="K2:K3"/>
    <mergeCell ref="X2:Y2"/>
    <mergeCell ref="Z2:Z3"/>
    <mergeCell ref="M2:W2"/>
    <mergeCell ref="L2:L3"/>
    <mergeCell ref="AA2:AB2"/>
    <mergeCell ref="AC2:AC3"/>
    <mergeCell ref="B14:F14"/>
    <mergeCell ref="J27:J28"/>
    <mergeCell ref="E27:E28"/>
    <mergeCell ref="F27:F28"/>
    <mergeCell ref="D2:D3"/>
    <mergeCell ref="E2:E3"/>
    <mergeCell ref="F2:F3"/>
    <mergeCell ref="B25:AD25"/>
    <mergeCell ref="B27:B28"/>
    <mergeCell ref="C27:C28"/>
    <mergeCell ref="AD2:AD3"/>
    <mergeCell ref="B12:F12"/>
    <mergeCell ref="D27:D28"/>
    <mergeCell ref="AD27:AD28"/>
    <mergeCell ref="Z27:Z28"/>
    <mergeCell ref="AA27:AB27"/>
    <mergeCell ref="AC27:AC28"/>
    <mergeCell ref="I27:I28"/>
    <mergeCell ref="K27:K28"/>
    <mergeCell ref="L27:L28"/>
    <mergeCell ref="M27:W27"/>
    <mergeCell ref="X27:Y27"/>
  </mergeCells>
  <pageMargins left="0.70866141732283472" right="0.11811023622047245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2018-09-24T11:45:21Z</dcterms:modified>
</cp:coreProperties>
</file>